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755"/>
  </bookViews>
  <sheets>
    <sheet name="меню" sheetId="1" r:id="rId1"/>
    <sheet name="Лист2" sheetId="2" r:id="rId2"/>
    <sheet name="титул" sheetId="3" r:id="rId3"/>
  </sheets>
  <calcPr calcId="145621"/>
</workbook>
</file>

<file path=xl/calcChain.xml><?xml version="1.0" encoding="utf-8"?>
<calcChain xmlns="http://schemas.openxmlformats.org/spreadsheetml/2006/main">
  <c r="R412" i="1" l="1"/>
  <c r="R328" i="1"/>
  <c r="R126" i="1" l="1"/>
  <c r="H126" i="1"/>
  <c r="F126" i="1"/>
  <c r="E126" i="1"/>
  <c r="I126" i="1" s="1"/>
  <c r="G126" i="1" l="1"/>
  <c r="R105" i="1"/>
  <c r="R343" i="1" l="1"/>
  <c r="O343" i="1"/>
  <c r="M343" i="1"/>
  <c r="J343" i="1"/>
  <c r="H343" i="1"/>
  <c r="F343" i="1"/>
  <c r="E343" i="1"/>
  <c r="P343" i="1" s="1"/>
  <c r="E341" i="1"/>
  <c r="F341" i="1" s="1"/>
  <c r="G341" i="1"/>
  <c r="I341" i="1"/>
  <c r="K341" i="1"/>
  <c r="M341" i="1"/>
  <c r="O341" i="1"/>
  <c r="R341" i="1"/>
  <c r="L326" i="1"/>
  <c r="C326" i="1"/>
  <c r="R325" i="1"/>
  <c r="E325" i="1"/>
  <c r="J325" i="1" s="1"/>
  <c r="R324" i="1"/>
  <c r="E324" i="1"/>
  <c r="I324" i="1" s="1"/>
  <c r="R323" i="1"/>
  <c r="D323" i="1"/>
  <c r="E323" i="1" s="1"/>
  <c r="R322" i="1"/>
  <c r="D322" i="1"/>
  <c r="E322" i="1" s="1"/>
  <c r="R321" i="1"/>
  <c r="R326" i="1" s="1"/>
  <c r="E321" i="1"/>
  <c r="E326" i="1" s="1"/>
  <c r="D321" i="1"/>
  <c r="D326" i="1" s="1"/>
  <c r="J335" i="1"/>
  <c r="R335" i="1"/>
  <c r="G343" i="1" l="1"/>
  <c r="I343" i="1"/>
  <c r="K343" i="1"/>
  <c r="N343" i="1"/>
  <c r="P341" i="1"/>
  <c r="N341" i="1"/>
  <c r="L341" i="1"/>
  <c r="J341" i="1"/>
  <c r="H341" i="1"/>
  <c r="O322" i="1"/>
  <c r="M322" i="1"/>
  <c r="J322" i="1"/>
  <c r="H322" i="1"/>
  <c r="F322" i="1"/>
  <c r="P322" i="1"/>
  <c r="N322" i="1"/>
  <c r="K322" i="1"/>
  <c r="I322" i="1"/>
  <c r="G322" i="1"/>
  <c r="P323" i="1"/>
  <c r="N323" i="1"/>
  <c r="K323" i="1"/>
  <c r="I323" i="1"/>
  <c r="G323" i="1"/>
  <c r="O323" i="1"/>
  <c r="M323" i="1"/>
  <c r="J323" i="1"/>
  <c r="H323" i="1"/>
  <c r="F323" i="1"/>
  <c r="F321" i="1"/>
  <c r="F326" i="1" s="1"/>
  <c r="H321" i="1"/>
  <c r="J321" i="1"/>
  <c r="M321" i="1"/>
  <c r="O321" i="1"/>
  <c r="O326" i="1" s="1"/>
  <c r="G324" i="1"/>
  <c r="J324" i="1"/>
  <c r="I325" i="1"/>
  <c r="G321" i="1"/>
  <c r="G326" i="1" s="1"/>
  <c r="I321" i="1"/>
  <c r="K321" i="1"/>
  <c r="K326" i="1" s="1"/>
  <c r="N321" i="1"/>
  <c r="P321" i="1"/>
  <c r="P326" i="1" s="1"/>
  <c r="G325" i="1"/>
  <c r="L86" i="1"/>
  <c r="G86" i="1"/>
  <c r="D86" i="1"/>
  <c r="R85" i="1"/>
  <c r="P85" i="1"/>
  <c r="M85" i="1"/>
  <c r="I85" i="1"/>
  <c r="H85" i="1"/>
  <c r="R84" i="1"/>
  <c r="P84" i="1"/>
  <c r="P86" i="1" s="1"/>
  <c r="O84" i="1"/>
  <c r="O86" i="1" s="1"/>
  <c r="N84" i="1"/>
  <c r="N86" i="1" s="1"/>
  <c r="M84" i="1"/>
  <c r="K84" i="1"/>
  <c r="K86" i="1" s="1"/>
  <c r="J84" i="1"/>
  <c r="J86" i="1" s="1"/>
  <c r="I84" i="1"/>
  <c r="H84" i="1"/>
  <c r="F84" i="1"/>
  <c r="F86" i="1" s="1"/>
  <c r="L73" i="1"/>
  <c r="C73" i="1"/>
  <c r="R72" i="1"/>
  <c r="E72" i="1"/>
  <c r="J72" i="1" s="1"/>
  <c r="R71" i="1"/>
  <c r="D71" i="1"/>
  <c r="E71" i="1" s="1"/>
  <c r="O71" i="1" s="1"/>
  <c r="R70" i="1"/>
  <c r="E70" i="1"/>
  <c r="J70" i="1" s="1"/>
  <c r="R69" i="1"/>
  <c r="D69" i="1"/>
  <c r="E69" i="1" s="1"/>
  <c r="E234" i="1"/>
  <c r="F234" i="1" s="1"/>
  <c r="G234" i="1"/>
  <c r="I234" i="1"/>
  <c r="R234" i="1"/>
  <c r="E236" i="1"/>
  <c r="R236" i="1"/>
  <c r="K221" i="1"/>
  <c r="C221" i="1"/>
  <c r="R220" i="1"/>
  <c r="E220" i="1"/>
  <c r="P220" i="1" s="1"/>
  <c r="R219" i="1"/>
  <c r="R221" i="1" s="1"/>
  <c r="E219" i="1"/>
  <c r="O219" i="1" s="1"/>
  <c r="L217" i="1"/>
  <c r="C217" i="1"/>
  <c r="R216" i="1"/>
  <c r="E216" i="1"/>
  <c r="J216" i="1" s="1"/>
  <c r="R215" i="1"/>
  <c r="D215" i="1"/>
  <c r="E215" i="1" s="1"/>
  <c r="O215" i="1" s="1"/>
  <c r="R214" i="1"/>
  <c r="E214" i="1"/>
  <c r="J214" i="1" s="1"/>
  <c r="R213" i="1"/>
  <c r="D213" i="1"/>
  <c r="D217" i="1" s="1"/>
  <c r="R406" i="1"/>
  <c r="E406" i="1"/>
  <c r="I406" i="1" s="1"/>
  <c r="R232" i="1"/>
  <c r="E232" i="1"/>
  <c r="P232" i="1" s="1"/>
  <c r="O230" i="1"/>
  <c r="N230" i="1"/>
  <c r="L230" i="1"/>
  <c r="K230" i="1"/>
  <c r="J230" i="1"/>
  <c r="G230" i="1"/>
  <c r="F230" i="1"/>
  <c r="D230" i="1"/>
  <c r="R229" i="1"/>
  <c r="P229" i="1"/>
  <c r="P230" i="1" s="1"/>
  <c r="M229" i="1"/>
  <c r="M230" i="1" s="1"/>
  <c r="I229" i="1"/>
  <c r="I230" i="1" s="1"/>
  <c r="H229" i="1"/>
  <c r="H230" i="1" s="1"/>
  <c r="R228" i="1"/>
  <c r="H228" i="1"/>
  <c r="E228" i="1"/>
  <c r="O228" i="1" s="1"/>
  <c r="O339" i="1"/>
  <c r="N339" i="1"/>
  <c r="M339" i="1"/>
  <c r="L339" i="1"/>
  <c r="K339" i="1"/>
  <c r="J339" i="1"/>
  <c r="G339" i="1"/>
  <c r="F339" i="1"/>
  <c r="D339" i="1"/>
  <c r="R338" i="1"/>
  <c r="P338" i="1"/>
  <c r="P339" i="1" s="1"/>
  <c r="M338" i="1"/>
  <c r="I338" i="1"/>
  <c r="I339" i="1" s="1"/>
  <c r="H338" i="1"/>
  <c r="H339" i="1" s="1"/>
  <c r="R337" i="1"/>
  <c r="R339" i="1" s="1"/>
  <c r="E337" i="1"/>
  <c r="P337" i="1" s="1"/>
  <c r="K333" i="1"/>
  <c r="C333" i="1"/>
  <c r="R332" i="1"/>
  <c r="R333" i="1" s="1"/>
  <c r="D332" i="1"/>
  <c r="E332" i="1" s="1"/>
  <c r="J326" i="1" l="1"/>
  <c r="N326" i="1"/>
  <c r="I326" i="1"/>
  <c r="M326" i="1"/>
  <c r="H326" i="1"/>
  <c r="H86" i="1"/>
  <c r="M86" i="1"/>
  <c r="R86" i="1"/>
  <c r="I86" i="1"/>
  <c r="E73" i="1"/>
  <c r="D73" i="1"/>
  <c r="R217" i="1"/>
  <c r="H234" i="1"/>
  <c r="R73" i="1"/>
  <c r="N69" i="1"/>
  <c r="G69" i="1"/>
  <c r="I69" i="1"/>
  <c r="K69" i="1"/>
  <c r="K73" i="1" s="1"/>
  <c r="P69" i="1"/>
  <c r="I70" i="1"/>
  <c r="G71" i="1"/>
  <c r="I71" i="1"/>
  <c r="K71" i="1"/>
  <c r="N71" i="1"/>
  <c r="P71" i="1"/>
  <c r="I72" i="1"/>
  <c r="F69" i="1"/>
  <c r="H69" i="1"/>
  <c r="J69" i="1"/>
  <c r="M69" i="1"/>
  <c r="O69" i="1"/>
  <c r="O73" i="1" s="1"/>
  <c r="G70" i="1"/>
  <c r="F71" i="1"/>
  <c r="H71" i="1"/>
  <c r="J71" i="1"/>
  <c r="M71" i="1"/>
  <c r="G72" i="1"/>
  <c r="F219" i="1"/>
  <c r="H219" i="1"/>
  <c r="J219" i="1"/>
  <c r="J221" i="1" s="1"/>
  <c r="N219" i="1"/>
  <c r="P219" i="1"/>
  <c r="P221" i="1" s="1"/>
  <c r="G220" i="1"/>
  <c r="I220" i="1"/>
  <c r="M220" i="1"/>
  <c r="O220" i="1"/>
  <c r="O221" i="1" s="1"/>
  <c r="G219" i="1"/>
  <c r="G221" i="1" s="1"/>
  <c r="I219" i="1"/>
  <c r="I221" i="1" s="1"/>
  <c r="M219" i="1"/>
  <c r="M221" i="1" s="1"/>
  <c r="F220" i="1"/>
  <c r="H220" i="1"/>
  <c r="L220" i="1"/>
  <c r="L221" i="1" s="1"/>
  <c r="N220" i="1"/>
  <c r="H406" i="1"/>
  <c r="F406" i="1"/>
  <c r="E213" i="1"/>
  <c r="E217" i="1" s="1"/>
  <c r="I213" i="1"/>
  <c r="N213" i="1"/>
  <c r="I214" i="1"/>
  <c r="G215" i="1"/>
  <c r="I215" i="1"/>
  <c r="K215" i="1"/>
  <c r="N215" i="1"/>
  <c r="P215" i="1"/>
  <c r="I216" i="1"/>
  <c r="H213" i="1"/>
  <c r="M213" i="1"/>
  <c r="G214" i="1"/>
  <c r="F215" i="1"/>
  <c r="H215" i="1"/>
  <c r="J215" i="1"/>
  <c r="M215" i="1"/>
  <c r="G216" i="1"/>
  <c r="G406" i="1"/>
  <c r="L228" i="1"/>
  <c r="P228" i="1"/>
  <c r="F228" i="1"/>
  <c r="J228" i="1"/>
  <c r="N228" i="1"/>
  <c r="R230" i="1"/>
  <c r="G232" i="1"/>
  <c r="I232" i="1"/>
  <c r="K232" i="1"/>
  <c r="M232" i="1"/>
  <c r="O232" i="1"/>
  <c r="G228" i="1"/>
  <c r="I228" i="1"/>
  <c r="K228" i="1"/>
  <c r="M228" i="1"/>
  <c r="F232" i="1"/>
  <c r="H232" i="1"/>
  <c r="J232" i="1"/>
  <c r="L232" i="1"/>
  <c r="N232" i="1"/>
  <c r="G337" i="1"/>
  <c r="I337" i="1"/>
  <c r="K337" i="1"/>
  <c r="M337" i="1"/>
  <c r="O337" i="1"/>
  <c r="F337" i="1"/>
  <c r="H337" i="1"/>
  <c r="J337" i="1"/>
  <c r="L337" i="1"/>
  <c r="N337" i="1"/>
  <c r="P332" i="1"/>
  <c r="P333" i="1" s="1"/>
  <c r="N332" i="1"/>
  <c r="N333" i="1" s="1"/>
  <c r="L332" i="1"/>
  <c r="L333" i="1" s="1"/>
  <c r="I332" i="1"/>
  <c r="I333" i="1" s="1"/>
  <c r="G332" i="1"/>
  <c r="G333" i="1" s="1"/>
  <c r="O332" i="1"/>
  <c r="O333" i="1" s="1"/>
  <c r="M332" i="1"/>
  <c r="M333" i="1" s="1"/>
  <c r="J332" i="1"/>
  <c r="J333" i="1" s="1"/>
  <c r="H332" i="1"/>
  <c r="H333" i="1" s="1"/>
  <c r="F332" i="1"/>
  <c r="F333" i="1" s="1"/>
  <c r="D333" i="1"/>
  <c r="E333" i="1" s="1"/>
  <c r="O264" i="1"/>
  <c r="N264" i="1"/>
  <c r="L264" i="1"/>
  <c r="K264" i="1"/>
  <c r="J264" i="1"/>
  <c r="G264" i="1"/>
  <c r="F264" i="1"/>
  <c r="D264" i="1"/>
  <c r="R263" i="1"/>
  <c r="P263" i="1"/>
  <c r="P264" i="1" s="1"/>
  <c r="M263" i="1"/>
  <c r="M264" i="1" s="1"/>
  <c r="I263" i="1"/>
  <c r="I264" i="1" s="1"/>
  <c r="H263" i="1"/>
  <c r="H264" i="1" s="1"/>
  <c r="R262" i="1"/>
  <c r="E262" i="1"/>
  <c r="P262" i="1" s="1"/>
  <c r="R266" i="1"/>
  <c r="E266" i="1"/>
  <c r="P266" i="1" s="1"/>
  <c r="L254" i="1"/>
  <c r="C254" i="1"/>
  <c r="R253" i="1"/>
  <c r="E253" i="1"/>
  <c r="I253" i="1" s="1"/>
  <c r="R252" i="1"/>
  <c r="M252" i="1"/>
  <c r="E252" i="1"/>
  <c r="P252" i="1" s="1"/>
  <c r="R251" i="1"/>
  <c r="E251" i="1"/>
  <c r="O251" i="1" s="1"/>
  <c r="R250" i="1"/>
  <c r="D250" i="1"/>
  <c r="E250" i="1" s="1"/>
  <c r="P250" i="1" s="1"/>
  <c r="R249" i="1"/>
  <c r="E249" i="1"/>
  <c r="P249" i="1" s="1"/>
  <c r="R248" i="1"/>
  <c r="D248" i="1"/>
  <c r="D254" i="1" s="1"/>
  <c r="D256" i="1"/>
  <c r="E256" i="1" s="1"/>
  <c r="R256" i="1"/>
  <c r="E257" i="1"/>
  <c r="F257" i="1" s="1"/>
  <c r="R257" i="1"/>
  <c r="C258" i="1"/>
  <c r="R264" i="1" l="1"/>
  <c r="M73" i="1"/>
  <c r="H73" i="1"/>
  <c r="G73" i="1"/>
  <c r="J73" i="1"/>
  <c r="F73" i="1"/>
  <c r="P73" i="1"/>
  <c r="I73" i="1"/>
  <c r="N73" i="1"/>
  <c r="F221" i="1"/>
  <c r="N221" i="1"/>
  <c r="H221" i="1"/>
  <c r="M257" i="1"/>
  <c r="O257" i="1"/>
  <c r="I257" i="1"/>
  <c r="O213" i="1"/>
  <c r="O217" i="1" s="1"/>
  <c r="J213" i="1"/>
  <c r="J217" i="1" s="1"/>
  <c r="F213" i="1"/>
  <c r="F217" i="1" s="1"/>
  <c r="P213" i="1"/>
  <c r="K213" i="1"/>
  <c r="K217" i="1" s="1"/>
  <c r="G213" i="1"/>
  <c r="G217" i="1" s="1"/>
  <c r="M217" i="1"/>
  <c r="H217" i="1"/>
  <c r="N217" i="1"/>
  <c r="I217" i="1"/>
  <c r="P217" i="1"/>
  <c r="G257" i="1"/>
  <c r="P257" i="1"/>
  <c r="N257" i="1"/>
  <c r="L257" i="1"/>
  <c r="L258" i="1" s="1"/>
  <c r="H257" i="1"/>
  <c r="R258" i="1"/>
  <c r="R254" i="1"/>
  <c r="H251" i="1"/>
  <c r="N251" i="1"/>
  <c r="J253" i="1"/>
  <c r="H266" i="1"/>
  <c r="M266" i="1"/>
  <c r="E248" i="1"/>
  <c r="O248" i="1" s="1"/>
  <c r="F251" i="1"/>
  <c r="J251" i="1"/>
  <c r="P251" i="1"/>
  <c r="G253" i="1"/>
  <c r="F266" i="1"/>
  <c r="J266" i="1"/>
  <c r="O266" i="1"/>
  <c r="G262" i="1"/>
  <c r="I262" i="1"/>
  <c r="K262" i="1"/>
  <c r="M262" i="1"/>
  <c r="O262" i="1"/>
  <c r="F262" i="1"/>
  <c r="H262" i="1"/>
  <c r="J262" i="1"/>
  <c r="L262" i="1"/>
  <c r="N262" i="1"/>
  <c r="G266" i="1"/>
  <c r="I266" i="1"/>
  <c r="K266" i="1"/>
  <c r="N266" i="1"/>
  <c r="G248" i="1"/>
  <c r="H249" i="1"/>
  <c r="J249" i="1"/>
  <c r="M249" i="1"/>
  <c r="O249" i="1"/>
  <c r="H250" i="1"/>
  <c r="J250" i="1"/>
  <c r="M250" i="1"/>
  <c r="O250" i="1"/>
  <c r="H252" i="1"/>
  <c r="J252" i="1"/>
  <c r="O252" i="1"/>
  <c r="M248" i="1"/>
  <c r="F249" i="1"/>
  <c r="I249" i="1"/>
  <c r="K249" i="1"/>
  <c r="N249" i="1"/>
  <c r="F250" i="1"/>
  <c r="I250" i="1"/>
  <c r="K250" i="1"/>
  <c r="N250" i="1"/>
  <c r="G251" i="1"/>
  <c r="I251" i="1"/>
  <c r="M251" i="1"/>
  <c r="F252" i="1"/>
  <c r="I252" i="1"/>
  <c r="K252" i="1"/>
  <c r="N252" i="1"/>
  <c r="H256" i="1"/>
  <c r="O256" i="1"/>
  <c r="E258" i="1"/>
  <c r="G256" i="1"/>
  <c r="I256" i="1"/>
  <c r="K256" i="1"/>
  <c r="K258" i="1" s="1"/>
  <c r="N256" i="1"/>
  <c r="P256" i="1"/>
  <c r="P258" i="1" s="1"/>
  <c r="F256" i="1"/>
  <c r="F258" i="1" s="1"/>
  <c r="J256" i="1"/>
  <c r="J258" i="1" s="1"/>
  <c r="M256" i="1"/>
  <c r="D258" i="1"/>
  <c r="M258" i="1" l="1"/>
  <c r="I258" i="1"/>
  <c r="F248" i="1"/>
  <c r="F254" i="1" s="1"/>
  <c r="N248" i="1"/>
  <c r="G258" i="1"/>
  <c r="O258" i="1"/>
  <c r="I248" i="1"/>
  <c r="E254" i="1"/>
  <c r="P248" i="1"/>
  <c r="P254" i="1" s="1"/>
  <c r="J248" i="1"/>
  <c r="N258" i="1"/>
  <c r="H258" i="1"/>
  <c r="O254" i="1"/>
  <c r="K254" i="1"/>
  <c r="I254" i="1"/>
  <c r="J254" i="1"/>
  <c r="M254" i="1"/>
  <c r="H254" i="1"/>
  <c r="N254" i="1"/>
  <c r="G254" i="1"/>
  <c r="R285" i="1"/>
  <c r="R223" i="1"/>
  <c r="R182" i="1"/>
  <c r="R144" i="1"/>
  <c r="R145" i="1" s="1"/>
  <c r="R79" i="1"/>
  <c r="L398" i="1"/>
  <c r="C398" i="1"/>
  <c r="R397" i="1"/>
  <c r="E397" i="1"/>
  <c r="J397" i="1" s="1"/>
  <c r="R396" i="1"/>
  <c r="M396" i="1"/>
  <c r="E396" i="1"/>
  <c r="H396" i="1" s="1"/>
  <c r="R395" i="1"/>
  <c r="E395" i="1"/>
  <c r="P395" i="1" s="1"/>
  <c r="R394" i="1"/>
  <c r="D394" i="1"/>
  <c r="E394" i="1" s="1"/>
  <c r="R393" i="1"/>
  <c r="E393" i="1"/>
  <c r="O393" i="1" s="1"/>
  <c r="R392" i="1"/>
  <c r="D392" i="1"/>
  <c r="K390" i="1"/>
  <c r="C390" i="1"/>
  <c r="R389" i="1"/>
  <c r="E389" i="1"/>
  <c r="N389" i="1" s="1"/>
  <c r="R388" i="1"/>
  <c r="E388" i="1"/>
  <c r="M388" i="1" s="1"/>
  <c r="R357" i="1"/>
  <c r="E357" i="1"/>
  <c r="M357" i="1" s="1"/>
  <c r="R355" i="1"/>
  <c r="D355" i="1"/>
  <c r="E355" i="1" s="1"/>
  <c r="C367" i="1"/>
  <c r="R354" i="1"/>
  <c r="D354" i="1"/>
  <c r="E354" i="1" s="1"/>
  <c r="O354" i="1" s="1"/>
  <c r="C289" i="1"/>
  <c r="R288" i="1"/>
  <c r="E288" i="1"/>
  <c r="M288" i="1" s="1"/>
  <c r="R304" i="1"/>
  <c r="E304" i="1"/>
  <c r="M304" i="1" s="1"/>
  <c r="R286" i="1"/>
  <c r="D286" i="1"/>
  <c r="E286" i="1" s="1"/>
  <c r="R287" i="1"/>
  <c r="D287" i="1"/>
  <c r="E287" i="1" s="1"/>
  <c r="M287" i="1" s="1"/>
  <c r="P285" i="1"/>
  <c r="O285" i="1"/>
  <c r="N285" i="1"/>
  <c r="M285" i="1"/>
  <c r="L285" i="1"/>
  <c r="J285" i="1"/>
  <c r="I285" i="1"/>
  <c r="H285" i="1"/>
  <c r="G285" i="1"/>
  <c r="F285" i="1"/>
  <c r="D285" i="1"/>
  <c r="L296" i="1"/>
  <c r="C296" i="1"/>
  <c r="R295" i="1"/>
  <c r="E295" i="1"/>
  <c r="I295" i="1" s="1"/>
  <c r="R294" i="1"/>
  <c r="E294" i="1"/>
  <c r="J294" i="1" s="1"/>
  <c r="R293" i="1"/>
  <c r="D293" i="1"/>
  <c r="E293" i="1" s="1"/>
  <c r="M293" i="1" s="1"/>
  <c r="R292" i="1"/>
  <c r="D292" i="1"/>
  <c r="E292" i="1" s="1"/>
  <c r="R291" i="1"/>
  <c r="D291" i="1"/>
  <c r="E51" i="1"/>
  <c r="E120" i="1"/>
  <c r="R198" i="1"/>
  <c r="E198" i="1"/>
  <c r="M198" i="1" s="1"/>
  <c r="O196" i="1"/>
  <c r="N196" i="1"/>
  <c r="L196" i="1"/>
  <c r="K196" i="1"/>
  <c r="J196" i="1"/>
  <c r="G196" i="1"/>
  <c r="F196" i="1"/>
  <c r="D196" i="1"/>
  <c r="C196" i="1"/>
  <c r="R195" i="1"/>
  <c r="P195" i="1"/>
  <c r="P196" i="1" s="1"/>
  <c r="M195" i="1"/>
  <c r="M196" i="1" s="1"/>
  <c r="I195" i="1"/>
  <c r="I196" i="1" s="1"/>
  <c r="H195" i="1"/>
  <c r="H196" i="1" s="1"/>
  <c r="R194" i="1"/>
  <c r="E194" i="1"/>
  <c r="N194" i="1" s="1"/>
  <c r="R188" i="1"/>
  <c r="E188" i="1"/>
  <c r="G188" i="1" s="1"/>
  <c r="E179" i="1"/>
  <c r="I179" i="1" s="1"/>
  <c r="C183" i="1"/>
  <c r="R179" i="1"/>
  <c r="R181" i="1"/>
  <c r="D181" i="1"/>
  <c r="E181" i="1" s="1"/>
  <c r="P182" i="1"/>
  <c r="O182" i="1"/>
  <c r="N182" i="1"/>
  <c r="M182" i="1"/>
  <c r="L182" i="1"/>
  <c r="L183" i="1" s="1"/>
  <c r="J182" i="1"/>
  <c r="I182" i="1"/>
  <c r="H182" i="1"/>
  <c r="G182" i="1"/>
  <c r="F182" i="1"/>
  <c r="D182" i="1"/>
  <c r="R180" i="1"/>
  <c r="D180" i="1"/>
  <c r="E180" i="1" s="1"/>
  <c r="M180" i="1" s="1"/>
  <c r="R178" i="1"/>
  <c r="E178" i="1"/>
  <c r="P178" i="1" s="1"/>
  <c r="D11" i="1"/>
  <c r="D42" i="1"/>
  <c r="E140" i="1"/>
  <c r="M140" i="1" s="1"/>
  <c r="E147" i="1"/>
  <c r="L151" i="1"/>
  <c r="G151" i="1"/>
  <c r="D151" i="1"/>
  <c r="R150" i="1"/>
  <c r="P150" i="1"/>
  <c r="M150" i="1"/>
  <c r="I150" i="1"/>
  <c r="H150" i="1"/>
  <c r="R149" i="1"/>
  <c r="P149" i="1"/>
  <c r="O149" i="1"/>
  <c r="O151" i="1" s="1"/>
  <c r="N149" i="1"/>
  <c r="N151" i="1" s="1"/>
  <c r="M149" i="1"/>
  <c r="K149" i="1"/>
  <c r="K151" i="1" s="1"/>
  <c r="J149" i="1"/>
  <c r="J151" i="1" s="1"/>
  <c r="I149" i="1"/>
  <c r="H149" i="1"/>
  <c r="F149" i="1"/>
  <c r="F151" i="1" s="1"/>
  <c r="K145" i="1"/>
  <c r="C145" i="1"/>
  <c r="D144" i="1"/>
  <c r="D145" i="1" s="1"/>
  <c r="K142" i="1"/>
  <c r="C142" i="1"/>
  <c r="R141" i="1"/>
  <c r="E141" i="1"/>
  <c r="N141" i="1" s="1"/>
  <c r="R140" i="1"/>
  <c r="I396" i="1" l="1"/>
  <c r="N396" i="1"/>
  <c r="N393" i="1"/>
  <c r="M395" i="1"/>
  <c r="H393" i="1"/>
  <c r="I393" i="1"/>
  <c r="D398" i="1"/>
  <c r="P393" i="1"/>
  <c r="R398" i="1"/>
  <c r="N395" i="1"/>
  <c r="K393" i="1"/>
  <c r="G395" i="1"/>
  <c r="F393" i="1"/>
  <c r="M393" i="1"/>
  <c r="H395" i="1"/>
  <c r="O394" i="1"/>
  <c r="J394" i="1"/>
  <c r="N394" i="1"/>
  <c r="I394" i="1"/>
  <c r="M394" i="1"/>
  <c r="H394" i="1"/>
  <c r="P394" i="1"/>
  <c r="K394" i="1"/>
  <c r="F394" i="1"/>
  <c r="E392" i="1"/>
  <c r="J396" i="1"/>
  <c r="O396" i="1"/>
  <c r="G397" i="1"/>
  <c r="I395" i="1"/>
  <c r="O395" i="1"/>
  <c r="F396" i="1"/>
  <c r="K396" i="1"/>
  <c r="P396" i="1"/>
  <c r="I397" i="1"/>
  <c r="J393" i="1"/>
  <c r="F395" i="1"/>
  <c r="J395" i="1"/>
  <c r="H388" i="1"/>
  <c r="N388" i="1"/>
  <c r="N390" i="1" s="1"/>
  <c r="R390" i="1"/>
  <c r="I389" i="1"/>
  <c r="O389" i="1"/>
  <c r="I388" i="1"/>
  <c r="O388" i="1"/>
  <c r="F389" i="1"/>
  <c r="L389" i="1"/>
  <c r="L390" i="1" s="1"/>
  <c r="P389" i="1"/>
  <c r="F388" i="1"/>
  <c r="J388" i="1"/>
  <c r="J390" i="1" s="1"/>
  <c r="P388" i="1"/>
  <c r="G389" i="1"/>
  <c r="M389" i="1"/>
  <c r="M390" i="1" s="1"/>
  <c r="G388" i="1"/>
  <c r="H389" i="1"/>
  <c r="H357" i="1"/>
  <c r="N357" i="1"/>
  <c r="I357" i="1"/>
  <c r="O357" i="1"/>
  <c r="F357" i="1"/>
  <c r="L357" i="1"/>
  <c r="P357" i="1"/>
  <c r="G357" i="1"/>
  <c r="M355" i="1"/>
  <c r="H355" i="1"/>
  <c r="P355" i="1"/>
  <c r="K355" i="1"/>
  <c r="F355" i="1"/>
  <c r="O355" i="1"/>
  <c r="J355" i="1"/>
  <c r="N355" i="1"/>
  <c r="I355" i="1"/>
  <c r="J354" i="1"/>
  <c r="P354" i="1"/>
  <c r="F354" i="1"/>
  <c r="M354" i="1"/>
  <c r="G354" i="1"/>
  <c r="N354" i="1"/>
  <c r="I354" i="1"/>
  <c r="H151" i="1"/>
  <c r="R151" i="1"/>
  <c r="R289" i="1"/>
  <c r="D289" i="1"/>
  <c r="K304" i="1"/>
  <c r="F304" i="1"/>
  <c r="N304" i="1"/>
  <c r="H288" i="1"/>
  <c r="G304" i="1"/>
  <c r="O304" i="1"/>
  <c r="N288" i="1"/>
  <c r="D296" i="1"/>
  <c r="J304" i="1"/>
  <c r="I288" i="1"/>
  <c r="O288" i="1"/>
  <c r="F288" i="1"/>
  <c r="L288" i="1"/>
  <c r="L289" i="1" s="1"/>
  <c r="P288" i="1"/>
  <c r="G288" i="1"/>
  <c r="H304" i="1"/>
  <c r="L304" i="1"/>
  <c r="P304" i="1"/>
  <c r="I304" i="1"/>
  <c r="M286" i="1"/>
  <c r="M289" i="1" s="1"/>
  <c r="H286" i="1"/>
  <c r="P286" i="1"/>
  <c r="K286" i="1"/>
  <c r="F286" i="1"/>
  <c r="E289" i="1"/>
  <c r="O286" i="1"/>
  <c r="J286" i="1"/>
  <c r="N286" i="1"/>
  <c r="I286" i="1"/>
  <c r="I287" i="1"/>
  <c r="N287" i="1"/>
  <c r="F287" i="1"/>
  <c r="J287" i="1"/>
  <c r="O287" i="1"/>
  <c r="G287" i="1"/>
  <c r="G289" i="1" s="1"/>
  <c r="K287" i="1"/>
  <c r="P287" i="1"/>
  <c r="H287" i="1"/>
  <c r="R296" i="1"/>
  <c r="J295" i="1"/>
  <c r="N292" i="1"/>
  <c r="I292" i="1"/>
  <c r="M292" i="1"/>
  <c r="H292" i="1"/>
  <c r="P292" i="1"/>
  <c r="K292" i="1"/>
  <c r="G292" i="1"/>
  <c r="O292" i="1"/>
  <c r="J292" i="1"/>
  <c r="F292" i="1"/>
  <c r="I293" i="1"/>
  <c r="N293" i="1"/>
  <c r="F293" i="1"/>
  <c r="J293" i="1"/>
  <c r="O293" i="1"/>
  <c r="G294" i="1"/>
  <c r="E291" i="1"/>
  <c r="G293" i="1"/>
  <c r="K293" i="1"/>
  <c r="P293" i="1"/>
  <c r="I294" i="1"/>
  <c r="G295" i="1"/>
  <c r="H293" i="1"/>
  <c r="R196" i="1"/>
  <c r="H140" i="1"/>
  <c r="R183" i="1"/>
  <c r="H194" i="1"/>
  <c r="N140" i="1"/>
  <c r="N142" i="1" s="1"/>
  <c r="I151" i="1"/>
  <c r="J188" i="1"/>
  <c r="K194" i="1"/>
  <c r="J198" i="1"/>
  <c r="O198" i="1"/>
  <c r="G179" i="1"/>
  <c r="F198" i="1"/>
  <c r="K198" i="1"/>
  <c r="P198" i="1"/>
  <c r="O194" i="1"/>
  <c r="G198" i="1"/>
  <c r="L198" i="1"/>
  <c r="I188" i="1"/>
  <c r="G194" i="1"/>
  <c r="P194" i="1"/>
  <c r="H198" i="1"/>
  <c r="N198" i="1"/>
  <c r="I198" i="1"/>
  <c r="J179" i="1"/>
  <c r="L194" i="1"/>
  <c r="I194" i="1"/>
  <c r="M194" i="1"/>
  <c r="F194" i="1"/>
  <c r="J194" i="1"/>
  <c r="D183" i="1"/>
  <c r="E183" i="1"/>
  <c r="M181" i="1"/>
  <c r="H181" i="1"/>
  <c r="P181" i="1"/>
  <c r="K181" i="1"/>
  <c r="F181" i="1"/>
  <c r="O181" i="1"/>
  <c r="J181" i="1"/>
  <c r="N181" i="1"/>
  <c r="I181" i="1"/>
  <c r="I180" i="1"/>
  <c r="N180" i="1"/>
  <c r="F180" i="1"/>
  <c r="J180" i="1"/>
  <c r="O180" i="1"/>
  <c r="G180" i="1"/>
  <c r="K180" i="1"/>
  <c r="P180" i="1"/>
  <c r="H180" i="1"/>
  <c r="I140" i="1"/>
  <c r="O140" i="1"/>
  <c r="M151" i="1"/>
  <c r="H178" i="1"/>
  <c r="H183" i="1" s="1"/>
  <c r="F140" i="1"/>
  <c r="J140" i="1"/>
  <c r="J142" i="1" s="1"/>
  <c r="P140" i="1"/>
  <c r="M178" i="1"/>
  <c r="G140" i="1"/>
  <c r="I178" i="1"/>
  <c r="N178" i="1"/>
  <c r="F178" i="1"/>
  <c r="J178" i="1"/>
  <c r="O178" i="1"/>
  <c r="G178" i="1"/>
  <c r="K178" i="1"/>
  <c r="P151" i="1"/>
  <c r="E144" i="1"/>
  <c r="E145" i="1" s="1"/>
  <c r="R142" i="1"/>
  <c r="I141" i="1"/>
  <c r="O141" i="1"/>
  <c r="F141" i="1"/>
  <c r="L141" i="1"/>
  <c r="L142" i="1" s="1"/>
  <c r="P141" i="1"/>
  <c r="G141" i="1"/>
  <c r="G142" i="1" s="1"/>
  <c r="M141" i="1"/>
  <c r="M142" i="1" s="1"/>
  <c r="H141" i="1"/>
  <c r="R106" i="1"/>
  <c r="D106" i="1"/>
  <c r="E106" i="1" s="1"/>
  <c r="M106" i="1" s="1"/>
  <c r="R115" i="1"/>
  <c r="E115" i="1"/>
  <c r="G115" i="1" s="1"/>
  <c r="R108" i="1"/>
  <c r="E108" i="1"/>
  <c r="M108" i="1" s="1"/>
  <c r="C77" i="1"/>
  <c r="R76" i="1"/>
  <c r="E76" i="1"/>
  <c r="P76" i="1" s="1"/>
  <c r="R75" i="1"/>
  <c r="D75" i="1"/>
  <c r="D77" i="1" s="1"/>
  <c r="R42" i="1"/>
  <c r="E42" i="1"/>
  <c r="R37" i="1"/>
  <c r="E37" i="1"/>
  <c r="I37" i="1" s="1"/>
  <c r="R25" i="1"/>
  <c r="E25" i="1"/>
  <c r="M25" i="1" s="1"/>
  <c r="L40" i="1"/>
  <c r="C40" i="1"/>
  <c r="R39" i="1"/>
  <c r="E39" i="1"/>
  <c r="J39" i="1" s="1"/>
  <c r="R38" i="1"/>
  <c r="D38" i="1"/>
  <c r="E38" i="1" s="1"/>
  <c r="M38" i="1" s="1"/>
  <c r="R36" i="1"/>
  <c r="D36" i="1"/>
  <c r="E36" i="1" s="1"/>
  <c r="O23" i="1"/>
  <c r="N23" i="1"/>
  <c r="L23" i="1"/>
  <c r="K23" i="1"/>
  <c r="J23" i="1"/>
  <c r="G23" i="1"/>
  <c r="F23" i="1"/>
  <c r="D23" i="1"/>
  <c r="C23" i="1"/>
  <c r="R22" i="1"/>
  <c r="P22" i="1"/>
  <c r="P23" i="1" s="1"/>
  <c r="M22" i="1"/>
  <c r="M23" i="1" s="1"/>
  <c r="I22" i="1"/>
  <c r="I23" i="1" s="1"/>
  <c r="H22" i="1"/>
  <c r="H23" i="1" s="1"/>
  <c r="R21" i="1"/>
  <c r="E21" i="1"/>
  <c r="P21" i="1" s="1"/>
  <c r="L17" i="1"/>
  <c r="C17" i="1"/>
  <c r="R16" i="1"/>
  <c r="E16" i="1"/>
  <c r="J16" i="1" s="1"/>
  <c r="R15" i="1"/>
  <c r="M15" i="1"/>
  <c r="E15" i="1"/>
  <c r="H15" i="1" s="1"/>
  <c r="R14" i="1"/>
  <c r="E14" i="1"/>
  <c r="P14" i="1" s="1"/>
  <c r="R13" i="1"/>
  <c r="D13" i="1"/>
  <c r="E13" i="1" s="1"/>
  <c r="R12" i="1"/>
  <c r="E12" i="1"/>
  <c r="O12" i="1" s="1"/>
  <c r="R11" i="1"/>
  <c r="E11" i="1"/>
  <c r="K9" i="1"/>
  <c r="D9" i="1"/>
  <c r="C9" i="1"/>
  <c r="R8" i="1"/>
  <c r="E8" i="1"/>
  <c r="N8" i="1" s="1"/>
  <c r="R7" i="1"/>
  <c r="P7" i="1"/>
  <c r="O7" i="1"/>
  <c r="N7" i="1"/>
  <c r="M7" i="1"/>
  <c r="J7" i="1"/>
  <c r="J9" i="1" s="1"/>
  <c r="I7" i="1"/>
  <c r="H7" i="1"/>
  <c r="G7" i="1"/>
  <c r="F7" i="1"/>
  <c r="I390" i="1" l="1"/>
  <c r="H390" i="1"/>
  <c r="H398" i="1"/>
  <c r="K398" i="1"/>
  <c r="E398" i="1"/>
  <c r="N392" i="1"/>
  <c r="N398" i="1" s="1"/>
  <c r="G392" i="1"/>
  <c r="G398" i="1" s="1"/>
  <c r="M392" i="1"/>
  <c r="M398" i="1" s="1"/>
  <c r="F392" i="1"/>
  <c r="F398" i="1" s="1"/>
  <c r="P392" i="1"/>
  <c r="P398" i="1" s="1"/>
  <c r="J392" i="1"/>
  <c r="J398" i="1" s="1"/>
  <c r="O392" i="1"/>
  <c r="O398" i="1" s="1"/>
  <c r="I392" i="1"/>
  <c r="I398" i="1" s="1"/>
  <c r="P289" i="1"/>
  <c r="P390" i="1"/>
  <c r="G390" i="1"/>
  <c r="F390" i="1"/>
  <c r="O390" i="1"/>
  <c r="J289" i="1"/>
  <c r="K289" i="1"/>
  <c r="O289" i="1"/>
  <c r="I289" i="1"/>
  <c r="H289" i="1"/>
  <c r="N289" i="1"/>
  <c r="F289" i="1"/>
  <c r="F142" i="1"/>
  <c r="O291" i="1"/>
  <c r="O296" i="1" s="1"/>
  <c r="J291" i="1"/>
  <c r="J296" i="1" s="1"/>
  <c r="F291" i="1"/>
  <c r="F296" i="1" s="1"/>
  <c r="N291" i="1"/>
  <c r="N296" i="1" s="1"/>
  <c r="I291" i="1"/>
  <c r="I296" i="1" s="1"/>
  <c r="M291" i="1"/>
  <c r="M296" i="1" s="1"/>
  <c r="H291" i="1"/>
  <c r="H296" i="1" s="1"/>
  <c r="E296" i="1"/>
  <c r="P291" i="1"/>
  <c r="P296" i="1" s="1"/>
  <c r="K291" i="1"/>
  <c r="K296" i="1" s="1"/>
  <c r="G291" i="1"/>
  <c r="G296" i="1" s="1"/>
  <c r="H142" i="1"/>
  <c r="O183" i="1"/>
  <c r="J183" i="1"/>
  <c r="I183" i="1"/>
  <c r="P142" i="1"/>
  <c r="M183" i="1"/>
  <c r="I142" i="1"/>
  <c r="K183" i="1"/>
  <c r="F183" i="1"/>
  <c r="G183" i="1"/>
  <c r="N183" i="1"/>
  <c r="P183" i="1"/>
  <c r="O142" i="1"/>
  <c r="O144" i="1"/>
  <c r="O145" i="1" s="1"/>
  <c r="J144" i="1"/>
  <c r="J145" i="1" s="1"/>
  <c r="F144" i="1"/>
  <c r="F145" i="1" s="1"/>
  <c r="N144" i="1"/>
  <c r="N145" i="1" s="1"/>
  <c r="I144" i="1"/>
  <c r="I145" i="1" s="1"/>
  <c r="M144" i="1"/>
  <c r="M145" i="1" s="1"/>
  <c r="H144" i="1"/>
  <c r="H145" i="1" s="1"/>
  <c r="P144" i="1"/>
  <c r="P145" i="1" s="1"/>
  <c r="L144" i="1"/>
  <c r="L145" i="1" s="1"/>
  <c r="G144" i="1"/>
  <c r="G145" i="1" s="1"/>
  <c r="J115" i="1"/>
  <c r="I115" i="1"/>
  <c r="I106" i="1"/>
  <c r="N106" i="1"/>
  <c r="F106" i="1"/>
  <c r="J106" i="1"/>
  <c r="O106" i="1"/>
  <c r="G106" i="1"/>
  <c r="K106" i="1"/>
  <c r="P106" i="1"/>
  <c r="H106" i="1"/>
  <c r="I108" i="1"/>
  <c r="N108" i="1"/>
  <c r="F108" i="1"/>
  <c r="J108" i="1"/>
  <c r="O108" i="1"/>
  <c r="G108" i="1"/>
  <c r="K108" i="1"/>
  <c r="P108" i="1"/>
  <c r="H108" i="1"/>
  <c r="R77" i="1"/>
  <c r="R40" i="1"/>
  <c r="J25" i="1"/>
  <c r="M76" i="1"/>
  <c r="N76" i="1"/>
  <c r="G76" i="1"/>
  <c r="J37" i="1"/>
  <c r="H76" i="1"/>
  <c r="E75" i="1"/>
  <c r="I76" i="1"/>
  <c r="O76" i="1"/>
  <c r="F76" i="1"/>
  <c r="L76" i="1"/>
  <c r="L77" i="1" s="1"/>
  <c r="G37" i="1"/>
  <c r="F25" i="1"/>
  <c r="N25" i="1"/>
  <c r="P42" i="1"/>
  <c r="J42" i="1"/>
  <c r="O42" i="1"/>
  <c r="I42" i="1"/>
  <c r="N42" i="1"/>
  <c r="G42" i="1"/>
  <c r="F42" i="1"/>
  <c r="M42" i="1"/>
  <c r="G25" i="1"/>
  <c r="K25" i="1"/>
  <c r="O25" i="1"/>
  <c r="H25" i="1"/>
  <c r="L25" i="1"/>
  <c r="P25" i="1"/>
  <c r="I25" i="1"/>
  <c r="N15" i="1"/>
  <c r="R23" i="1"/>
  <c r="E40" i="1"/>
  <c r="N36" i="1"/>
  <c r="I36" i="1"/>
  <c r="M36" i="1"/>
  <c r="M40" i="1" s="1"/>
  <c r="H36" i="1"/>
  <c r="P36" i="1"/>
  <c r="K36" i="1"/>
  <c r="G36" i="1"/>
  <c r="O36" i="1"/>
  <c r="J36" i="1"/>
  <c r="F36" i="1"/>
  <c r="I38" i="1"/>
  <c r="N38" i="1"/>
  <c r="F38" i="1"/>
  <c r="J38" i="1"/>
  <c r="O38" i="1"/>
  <c r="G39" i="1"/>
  <c r="G38" i="1"/>
  <c r="K38" i="1"/>
  <c r="P38" i="1"/>
  <c r="I39" i="1"/>
  <c r="D40" i="1"/>
  <c r="H38" i="1"/>
  <c r="I15" i="1"/>
  <c r="M14" i="1"/>
  <c r="E17" i="1"/>
  <c r="I21" i="1"/>
  <c r="M21" i="1"/>
  <c r="F21" i="1"/>
  <c r="J21" i="1"/>
  <c r="N21" i="1"/>
  <c r="G21" i="1"/>
  <c r="K21" i="1"/>
  <c r="O21" i="1"/>
  <c r="H21" i="1"/>
  <c r="L21" i="1"/>
  <c r="M12" i="1"/>
  <c r="P12" i="1"/>
  <c r="N14" i="1"/>
  <c r="H12" i="1"/>
  <c r="G14" i="1"/>
  <c r="R17" i="1"/>
  <c r="K12" i="1"/>
  <c r="H14" i="1"/>
  <c r="O13" i="1"/>
  <c r="J13" i="1"/>
  <c r="N13" i="1"/>
  <c r="I13" i="1"/>
  <c r="M13" i="1"/>
  <c r="H13" i="1"/>
  <c r="P13" i="1"/>
  <c r="K13" i="1"/>
  <c r="F13" i="1"/>
  <c r="J11" i="1"/>
  <c r="P11" i="1"/>
  <c r="F11" i="1"/>
  <c r="M11" i="1"/>
  <c r="M17" i="1" s="1"/>
  <c r="J15" i="1"/>
  <c r="O15" i="1"/>
  <c r="G16" i="1"/>
  <c r="G11" i="1"/>
  <c r="N11" i="1"/>
  <c r="I12" i="1"/>
  <c r="N12" i="1"/>
  <c r="I14" i="1"/>
  <c r="O14" i="1"/>
  <c r="F15" i="1"/>
  <c r="K15" i="1"/>
  <c r="P15" i="1"/>
  <c r="I16" i="1"/>
  <c r="D17" i="1"/>
  <c r="I11" i="1"/>
  <c r="O11" i="1"/>
  <c r="F12" i="1"/>
  <c r="J12" i="1"/>
  <c r="F14" i="1"/>
  <c r="J14" i="1"/>
  <c r="R9" i="1"/>
  <c r="N9" i="1"/>
  <c r="F8" i="1"/>
  <c r="F9" i="1" s="1"/>
  <c r="L8" i="1"/>
  <c r="L9" i="1" s="1"/>
  <c r="P8" i="1"/>
  <c r="P9" i="1" s="1"/>
  <c r="O8" i="1"/>
  <c r="O9" i="1" s="1"/>
  <c r="G8" i="1"/>
  <c r="G9" i="1" s="1"/>
  <c r="M8" i="1"/>
  <c r="M9" i="1" s="1"/>
  <c r="I8" i="1"/>
  <c r="I9" i="1" s="1"/>
  <c r="H8" i="1"/>
  <c r="H9" i="1" s="1"/>
  <c r="R110" i="1"/>
  <c r="M110" i="1"/>
  <c r="E110" i="1"/>
  <c r="P110" i="1" s="1"/>
  <c r="R47" i="1"/>
  <c r="M47" i="1"/>
  <c r="E47" i="1"/>
  <c r="P47" i="1" s="1"/>
  <c r="E77" i="1" l="1"/>
  <c r="O75" i="1"/>
  <c r="O77" i="1" s="1"/>
  <c r="J75" i="1"/>
  <c r="J77" i="1" s="1"/>
  <c r="F75" i="1"/>
  <c r="F77" i="1" s="1"/>
  <c r="N75" i="1"/>
  <c r="N77" i="1" s="1"/>
  <c r="I75" i="1"/>
  <c r="I77" i="1" s="1"/>
  <c r="M75" i="1"/>
  <c r="M77" i="1" s="1"/>
  <c r="H75" i="1"/>
  <c r="H77" i="1" s="1"/>
  <c r="P75" i="1"/>
  <c r="P77" i="1" s="1"/>
  <c r="K75" i="1"/>
  <c r="K77" i="1" s="1"/>
  <c r="G75" i="1"/>
  <c r="G77" i="1" s="1"/>
  <c r="O40" i="1"/>
  <c r="P40" i="1"/>
  <c r="N40" i="1"/>
  <c r="J40" i="1"/>
  <c r="H40" i="1"/>
  <c r="G40" i="1"/>
  <c r="F40" i="1"/>
  <c r="K40" i="1"/>
  <c r="I40" i="1"/>
  <c r="G17" i="1"/>
  <c r="K17" i="1"/>
  <c r="N17" i="1"/>
  <c r="H17" i="1"/>
  <c r="J17" i="1"/>
  <c r="O17" i="1"/>
  <c r="I17" i="1"/>
  <c r="F17" i="1"/>
  <c r="P17" i="1"/>
  <c r="H47" i="1"/>
  <c r="I110" i="1"/>
  <c r="H110" i="1"/>
  <c r="N47" i="1"/>
  <c r="I47" i="1"/>
  <c r="N110" i="1"/>
  <c r="J110" i="1"/>
  <c r="O110" i="1"/>
  <c r="F110" i="1"/>
  <c r="K110" i="1"/>
  <c r="J47" i="1"/>
  <c r="O47" i="1"/>
  <c r="F47" i="1"/>
  <c r="K47" i="1"/>
  <c r="R402" i="1" l="1"/>
  <c r="R371" i="1"/>
  <c r="R329" i="1"/>
  <c r="R53" i="1"/>
  <c r="R46" i="1"/>
  <c r="E46" i="1" l="1"/>
  <c r="D356" i="1" l="1"/>
  <c r="R375" i="1"/>
  <c r="R366" i="1"/>
  <c r="R365" i="1"/>
  <c r="R361" i="1"/>
  <c r="R356" i="1"/>
  <c r="R358" i="1" s="1"/>
  <c r="R306" i="1"/>
  <c r="R300" i="1"/>
  <c r="R200" i="1"/>
  <c r="R189" i="1"/>
  <c r="R185" i="1"/>
  <c r="R155" i="1"/>
  <c r="R153" i="1"/>
  <c r="R122" i="1"/>
  <c r="R117" i="1"/>
  <c r="R111" i="1"/>
  <c r="R57" i="1"/>
  <c r="R43" i="1"/>
  <c r="R27" i="1"/>
  <c r="C124" i="1" l="1"/>
  <c r="E122" i="1"/>
  <c r="P122" i="1" s="1"/>
  <c r="E300" i="1"/>
  <c r="M300" i="1" s="1"/>
  <c r="I122" i="1" l="1"/>
  <c r="M122" i="1"/>
  <c r="J122" i="1"/>
  <c r="G122" i="1"/>
  <c r="K122" i="1"/>
  <c r="O122" i="1"/>
  <c r="F122" i="1"/>
  <c r="N122" i="1"/>
  <c r="H122" i="1"/>
  <c r="L122" i="1"/>
  <c r="L300" i="1"/>
  <c r="F300" i="1"/>
  <c r="N300" i="1"/>
  <c r="H300" i="1"/>
  <c r="P300" i="1"/>
  <c r="J300" i="1"/>
  <c r="G300" i="1"/>
  <c r="K300" i="1"/>
  <c r="O300" i="1"/>
  <c r="I300" i="1"/>
  <c r="E153" i="1"/>
  <c r="N153" i="1" s="1"/>
  <c r="R157" i="1"/>
  <c r="R147" i="1"/>
  <c r="R362" i="1"/>
  <c r="R363" i="1"/>
  <c r="R364" i="1"/>
  <c r="R369" i="1"/>
  <c r="R372" i="1"/>
  <c r="R377" i="1"/>
  <c r="E356" i="1"/>
  <c r="C358" i="1"/>
  <c r="L358" i="1"/>
  <c r="R360" i="1"/>
  <c r="D360" i="1"/>
  <c r="E360" i="1" s="1"/>
  <c r="O360" i="1" s="1"/>
  <c r="D364" i="1"/>
  <c r="D363" i="1"/>
  <c r="E363" i="1" s="1"/>
  <c r="J363" i="1" s="1"/>
  <c r="D362" i="1"/>
  <c r="E362" i="1" s="1"/>
  <c r="N362" i="1" s="1"/>
  <c r="R186" i="1"/>
  <c r="R187" i="1"/>
  <c r="R202" i="1"/>
  <c r="R192" i="1"/>
  <c r="R226" i="1"/>
  <c r="R237" i="1" s="1"/>
  <c r="R224" i="1"/>
  <c r="E105" i="1"/>
  <c r="E107" i="1"/>
  <c r="H107" i="1" s="1"/>
  <c r="D109" i="1"/>
  <c r="E109" i="1" s="1"/>
  <c r="O109" i="1" s="1"/>
  <c r="E111" i="1"/>
  <c r="I111" i="1" s="1"/>
  <c r="R123" i="1"/>
  <c r="R124" i="1" s="1"/>
  <c r="R109" i="1"/>
  <c r="R107" i="1"/>
  <c r="R116" i="1"/>
  <c r="R114" i="1"/>
  <c r="R128" i="1"/>
  <c r="R120" i="1"/>
  <c r="L112" i="1"/>
  <c r="G107" i="1"/>
  <c r="C112" i="1"/>
  <c r="C49" i="1"/>
  <c r="R400" i="1"/>
  <c r="R403" i="1"/>
  <c r="R408" i="1"/>
  <c r="P402" i="1"/>
  <c r="P403" i="1"/>
  <c r="O402" i="1"/>
  <c r="O404" i="1" s="1"/>
  <c r="N402" i="1"/>
  <c r="N404" i="1" s="1"/>
  <c r="M402" i="1"/>
  <c r="M403" i="1"/>
  <c r="L404" i="1"/>
  <c r="K402" i="1"/>
  <c r="K404" i="1" s="1"/>
  <c r="J402" i="1"/>
  <c r="J404" i="1" s="1"/>
  <c r="I402" i="1"/>
  <c r="I403" i="1"/>
  <c r="H402" i="1"/>
  <c r="H403" i="1"/>
  <c r="G404" i="1"/>
  <c r="F402" i="1"/>
  <c r="F404" i="1" s="1"/>
  <c r="D404" i="1"/>
  <c r="E408" i="1"/>
  <c r="P400" i="1"/>
  <c r="O400" i="1"/>
  <c r="N400" i="1"/>
  <c r="M400" i="1"/>
  <c r="J400" i="1"/>
  <c r="I400" i="1"/>
  <c r="H400" i="1"/>
  <c r="G400" i="1"/>
  <c r="F400" i="1"/>
  <c r="E88" i="1"/>
  <c r="I88" i="1" s="1"/>
  <c r="E155" i="1"/>
  <c r="I155" i="1" s="1"/>
  <c r="E306" i="1"/>
  <c r="H306" i="1" s="1"/>
  <c r="E361" i="1"/>
  <c r="K361" i="1" s="1"/>
  <c r="M361" i="1"/>
  <c r="D366" i="1"/>
  <c r="E366" i="1" s="1"/>
  <c r="P366" i="1" s="1"/>
  <c r="E377" i="1"/>
  <c r="E375" i="1"/>
  <c r="O375" i="1" s="1"/>
  <c r="P371" i="1"/>
  <c r="P372" i="1"/>
  <c r="O371" i="1"/>
  <c r="O373" i="1" s="1"/>
  <c r="N371" i="1"/>
  <c r="N373" i="1" s="1"/>
  <c r="M371" i="1"/>
  <c r="M372" i="1"/>
  <c r="L373" i="1"/>
  <c r="K371" i="1"/>
  <c r="K373" i="1" s="1"/>
  <c r="J371" i="1"/>
  <c r="J373" i="1" s="1"/>
  <c r="I371" i="1"/>
  <c r="I372" i="1"/>
  <c r="H371" i="1"/>
  <c r="H372" i="1"/>
  <c r="G373" i="1"/>
  <c r="F371" i="1"/>
  <c r="F373" i="1" s="1"/>
  <c r="D373" i="1"/>
  <c r="P369" i="1"/>
  <c r="O369" i="1"/>
  <c r="N369" i="1"/>
  <c r="M369" i="1"/>
  <c r="J369" i="1"/>
  <c r="I369" i="1"/>
  <c r="H369" i="1"/>
  <c r="G369" i="1"/>
  <c r="F369" i="1"/>
  <c r="L367" i="1"/>
  <c r="E365" i="1"/>
  <c r="J365" i="1" s="1"/>
  <c r="R345" i="1"/>
  <c r="E329" i="1"/>
  <c r="M329" i="1" s="1"/>
  <c r="E328" i="1"/>
  <c r="P328" i="1" s="1"/>
  <c r="E345" i="1"/>
  <c r="P335" i="1"/>
  <c r="O335" i="1"/>
  <c r="N335" i="1"/>
  <c r="M335" i="1"/>
  <c r="I335" i="1"/>
  <c r="H335" i="1"/>
  <c r="G335" i="1"/>
  <c r="F335" i="1"/>
  <c r="K330" i="1"/>
  <c r="R298" i="1"/>
  <c r="R301" i="1"/>
  <c r="R302" i="1" s="1"/>
  <c r="R308" i="1"/>
  <c r="P301" i="1"/>
  <c r="M301" i="1"/>
  <c r="L302" i="1"/>
  <c r="I301" i="1"/>
  <c r="H301" i="1"/>
  <c r="G302" i="1"/>
  <c r="D302" i="1"/>
  <c r="E308" i="1"/>
  <c r="P298" i="1"/>
  <c r="O298" i="1"/>
  <c r="N298" i="1"/>
  <c r="M298" i="1"/>
  <c r="J298" i="1"/>
  <c r="I298" i="1"/>
  <c r="H298" i="1"/>
  <c r="G298" i="1"/>
  <c r="F298" i="1"/>
  <c r="R44" i="1"/>
  <c r="R45" i="1"/>
  <c r="R48" i="1"/>
  <c r="R51" i="1"/>
  <c r="R54" i="1"/>
  <c r="R59" i="1"/>
  <c r="P46" i="1"/>
  <c r="O46" i="1"/>
  <c r="N46" i="1"/>
  <c r="M46" i="1"/>
  <c r="L46" i="1"/>
  <c r="L49" i="1" s="1"/>
  <c r="I46" i="1"/>
  <c r="H46" i="1"/>
  <c r="G46" i="1"/>
  <c r="F46" i="1"/>
  <c r="R260" i="1"/>
  <c r="R268" i="1"/>
  <c r="E268" i="1"/>
  <c r="P260" i="1"/>
  <c r="O260" i="1"/>
  <c r="N260" i="1"/>
  <c r="M260" i="1"/>
  <c r="J260" i="1"/>
  <c r="I260" i="1"/>
  <c r="H260" i="1"/>
  <c r="G260" i="1"/>
  <c r="F260" i="1"/>
  <c r="C224" i="1"/>
  <c r="D223" i="1"/>
  <c r="P226" i="1"/>
  <c r="O226" i="1"/>
  <c r="N226" i="1"/>
  <c r="M226" i="1"/>
  <c r="J226" i="1"/>
  <c r="I226" i="1"/>
  <c r="H226" i="1"/>
  <c r="G226" i="1"/>
  <c r="F226" i="1"/>
  <c r="K224" i="1"/>
  <c r="P200" i="1"/>
  <c r="O200" i="1"/>
  <c r="N200" i="1"/>
  <c r="M200" i="1"/>
  <c r="K200" i="1"/>
  <c r="J200" i="1"/>
  <c r="I200" i="1"/>
  <c r="H200" i="1"/>
  <c r="G200" i="1"/>
  <c r="F200" i="1"/>
  <c r="D185" i="1"/>
  <c r="E185" i="1" s="1"/>
  <c r="D186" i="1"/>
  <c r="E186" i="1" s="1"/>
  <c r="D187" i="1"/>
  <c r="E187" i="1" s="1"/>
  <c r="I187" i="1" s="1"/>
  <c r="L190" i="1"/>
  <c r="E189" i="1"/>
  <c r="J189" i="1" s="1"/>
  <c r="C190" i="1"/>
  <c r="E202" i="1"/>
  <c r="P192" i="1"/>
  <c r="O192" i="1"/>
  <c r="N192" i="1"/>
  <c r="M192" i="1"/>
  <c r="J192" i="1"/>
  <c r="I192" i="1"/>
  <c r="H192" i="1"/>
  <c r="G192" i="1"/>
  <c r="F192" i="1"/>
  <c r="E157" i="1"/>
  <c r="P147" i="1"/>
  <c r="O147" i="1"/>
  <c r="N147" i="1"/>
  <c r="M147" i="1"/>
  <c r="J147" i="1"/>
  <c r="I147" i="1"/>
  <c r="H147" i="1"/>
  <c r="G147" i="1"/>
  <c r="F147" i="1"/>
  <c r="O124" i="1"/>
  <c r="H123" i="1"/>
  <c r="D114" i="1"/>
  <c r="D116" i="1"/>
  <c r="E116" i="1" s="1"/>
  <c r="L118" i="1"/>
  <c r="J117" i="1"/>
  <c r="I117" i="1"/>
  <c r="G117" i="1"/>
  <c r="C118" i="1"/>
  <c r="E128" i="1"/>
  <c r="P123" i="1"/>
  <c r="M123" i="1"/>
  <c r="L124" i="1"/>
  <c r="I123" i="1"/>
  <c r="G124" i="1"/>
  <c r="D124" i="1"/>
  <c r="P120" i="1"/>
  <c r="O120" i="1"/>
  <c r="N120" i="1"/>
  <c r="M120" i="1"/>
  <c r="J120" i="1"/>
  <c r="I120" i="1"/>
  <c r="H120" i="1"/>
  <c r="G120" i="1"/>
  <c r="F120" i="1"/>
  <c r="R88" i="1"/>
  <c r="R91" i="1" s="1"/>
  <c r="R80" i="1"/>
  <c r="D79" i="1"/>
  <c r="D45" i="1"/>
  <c r="E45" i="1" s="1"/>
  <c r="P45" i="1" s="1"/>
  <c r="D44" i="1"/>
  <c r="E44" i="1" s="1"/>
  <c r="E48" i="1"/>
  <c r="M48" i="1" s="1"/>
  <c r="D43" i="1"/>
  <c r="E43" i="1" s="1"/>
  <c r="R82" i="1"/>
  <c r="R90" i="1"/>
  <c r="E90" i="1"/>
  <c r="P82" i="1"/>
  <c r="O82" i="1"/>
  <c r="N82" i="1"/>
  <c r="M82" i="1"/>
  <c r="J82" i="1"/>
  <c r="I82" i="1"/>
  <c r="H82" i="1"/>
  <c r="G82" i="1"/>
  <c r="F82" i="1"/>
  <c r="K80" i="1"/>
  <c r="C80" i="1"/>
  <c r="E59" i="1"/>
  <c r="E57" i="1"/>
  <c r="F57" i="1" s="1"/>
  <c r="R19" i="1"/>
  <c r="R29" i="1"/>
  <c r="E29" i="1"/>
  <c r="P51" i="1"/>
  <c r="O51" i="1"/>
  <c r="N51" i="1"/>
  <c r="M51" i="1"/>
  <c r="J51" i="1"/>
  <c r="I51" i="1"/>
  <c r="H51" i="1"/>
  <c r="G51" i="1"/>
  <c r="F51" i="1"/>
  <c r="P53" i="1"/>
  <c r="P54" i="1"/>
  <c r="O53" i="1"/>
  <c r="O55" i="1" s="1"/>
  <c r="N53" i="1"/>
  <c r="N55" i="1" s="1"/>
  <c r="M53" i="1"/>
  <c r="M54" i="1"/>
  <c r="L55" i="1"/>
  <c r="K53" i="1"/>
  <c r="K55" i="1" s="1"/>
  <c r="J53" i="1"/>
  <c r="J55" i="1" s="1"/>
  <c r="I53" i="1"/>
  <c r="I54" i="1"/>
  <c r="H53" i="1"/>
  <c r="H54" i="1"/>
  <c r="G55" i="1"/>
  <c r="F53" i="1"/>
  <c r="F55" i="1" s="1"/>
  <c r="D55" i="1"/>
  <c r="C55" i="1"/>
  <c r="P27" i="1"/>
  <c r="O27" i="1"/>
  <c r="N27" i="1"/>
  <c r="M27" i="1"/>
  <c r="K27" i="1"/>
  <c r="J27" i="1"/>
  <c r="I27" i="1"/>
  <c r="H27" i="1"/>
  <c r="G27" i="1"/>
  <c r="F27" i="1"/>
  <c r="P19" i="1"/>
  <c r="O19" i="1"/>
  <c r="N19" i="1"/>
  <c r="M19" i="1"/>
  <c r="J19" i="1"/>
  <c r="I19" i="1"/>
  <c r="H19" i="1"/>
  <c r="G19" i="1"/>
  <c r="F19" i="1"/>
  <c r="Y20" i="2"/>
  <c r="Y22" i="2" s="1"/>
  <c r="X19" i="2"/>
  <c r="X20" i="2" s="1"/>
  <c r="X22" i="2" s="1"/>
  <c r="W19" i="2"/>
  <c r="W20" i="2"/>
  <c r="V19" i="2"/>
  <c r="V20" i="2" s="1"/>
  <c r="V22" i="2" s="1"/>
  <c r="U19" i="2"/>
  <c r="U20" i="2"/>
  <c r="U22" i="2" s="1"/>
  <c r="T19" i="2"/>
  <c r="T20" i="2" s="1"/>
  <c r="T22" i="2" s="1"/>
  <c r="S19" i="2"/>
  <c r="S20" i="2"/>
  <c r="R19" i="2"/>
  <c r="R20" i="2" s="1"/>
  <c r="R22" i="2" s="1"/>
  <c r="Q19" i="2"/>
  <c r="Q20" i="2"/>
  <c r="Q22" i="2" s="1"/>
  <c r="P19" i="2"/>
  <c r="P20" i="2" s="1"/>
  <c r="P22" i="2" s="1"/>
  <c r="O19" i="2"/>
  <c r="O20" i="2"/>
  <c r="N19" i="2"/>
  <c r="N20" i="2" s="1"/>
  <c r="N22" i="2" s="1"/>
  <c r="M19" i="2"/>
  <c r="M20" i="2"/>
  <c r="M22" i="2" s="1"/>
  <c r="L19" i="2"/>
  <c r="L20" i="2" s="1"/>
  <c r="L22" i="2" s="1"/>
  <c r="K19" i="2"/>
  <c r="K20" i="2"/>
  <c r="J19" i="2"/>
  <c r="J20" i="2" s="1"/>
  <c r="J22" i="2" s="1"/>
  <c r="I19" i="2"/>
  <c r="I20" i="2"/>
  <c r="I22" i="2" s="1"/>
  <c r="H19" i="2"/>
  <c r="H20" i="2" s="1"/>
  <c r="H22" i="2" s="1"/>
  <c r="G19" i="2"/>
  <c r="G20" i="2"/>
  <c r="F19" i="2"/>
  <c r="F20" i="2" s="1"/>
  <c r="F22" i="2" s="1"/>
  <c r="E19" i="2"/>
  <c r="E20" i="2"/>
  <c r="E22" i="2" s="1"/>
  <c r="D19" i="2"/>
  <c r="D20" i="2" s="1"/>
  <c r="D22" i="2" s="1"/>
  <c r="C19" i="2"/>
  <c r="C20" i="2"/>
  <c r="C22" i="2"/>
  <c r="G22" i="2"/>
  <c r="K22" i="2"/>
  <c r="O22" i="2"/>
  <c r="S22" i="2"/>
  <c r="W22" i="2"/>
  <c r="B19" i="2"/>
  <c r="B20" i="2"/>
  <c r="B22" i="2" s="1"/>
  <c r="W23" i="2" s="1"/>
  <c r="I105" i="1" l="1"/>
  <c r="F105" i="1"/>
  <c r="G105" i="1"/>
  <c r="D224" i="1"/>
  <c r="E223" i="1"/>
  <c r="R270" i="1"/>
  <c r="R309" i="1"/>
  <c r="R158" i="1"/>
  <c r="R30" i="1"/>
  <c r="R49" i="1"/>
  <c r="R367" i="1"/>
  <c r="H356" i="1"/>
  <c r="D80" i="1"/>
  <c r="E80" i="1" s="1"/>
  <c r="E79" i="1"/>
  <c r="F107" i="1"/>
  <c r="F48" i="1"/>
  <c r="M55" i="1"/>
  <c r="N302" i="1"/>
  <c r="K302" i="1"/>
  <c r="G155" i="1"/>
  <c r="K109" i="1"/>
  <c r="I189" i="1"/>
  <c r="H361" i="1"/>
  <c r="F155" i="1"/>
  <c r="J48" i="1"/>
  <c r="R373" i="1"/>
  <c r="I48" i="1"/>
  <c r="F366" i="1"/>
  <c r="G187" i="1"/>
  <c r="H48" i="1"/>
  <c r="J45" i="1"/>
  <c r="D118" i="1"/>
  <c r="I404" i="1"/>
  <c r="G48" i="1"/>
  <c r="H329" i="1"/>
  <c r="H404" i="1"/>
  <c r="M404" i="1"/>
  <c r="H109" i="1"/>
  <c r="H112" i="1" s="1"/>
  <c r="M153" i="1"/>
  <c r="H375" i="1"/>
  <c r="M375" i="1"/>
  <c r="M306" i="1"/>
  <c r="I306" i="1"/>
  <c r="I55" i="1"/>
  <c r="I124" i="1"/>
  <c r="G189" i="1"/>
  <c r="I302" i="1"/>
  <c r="M302" i="1"/>
  <c r="M373" i="1"/>
  <c r="P373" i="1"/>
  <c r="K366" i="1"/>
  <c r="F109" i="1"/>
  <c r="I362" i="1"/>
  <c r="J360" i="1"/>
  <c r="M124" i="1"/>
  <c r="R404" i="1"/>
  <c r="R409" i="1" s="1"/>
  <c r="H55" i="1"/>
  <c r="H57" i="1"/>
  <c r="J124" i="1"/>
  <c r="R55" i="1"/>
  <c r="P302" i="1"/>
  <c r="J366" i="1"/>
  <c r="N306" i="1"/>
  <c r="I153" i="1"/>
  <c r="H153" i="1"/>
  <c r="P153" i="1"/>
  <c r="G153" i="1"/>
  <c r="K153" i="1"/>
  <c r="O153" i="1"/>
  <c r="L153" i="1"/>
  <c r="F153" i="1"/>
  <c r="J153" i="1"/>
  <c r="P186" i="1"/>
  <c r="I186" i="1"/>
  <c r="J186" i="1"/>
  <c r="K186" i="1"/>
  <c r="N116" i="1"/>
  <c r="K116" i="1"/>
  <c r="H116" i="1"/>
  <c r="M116" i="1"/>
  <c r="F116" i="1"/>
  <c r="O116" i="1"/>
  <c r="I116" i="1"/>
  <c r="I328" i="1"/>
  <c r="O328" i="1"/>
  <c r="I365" i="1"/>
  <c r="G375" i="1"/>
  <c r="K375" i="1"/>
  <c r="P109" i="1"/>
  <c r="R112" i="1"/>
  <c r="O362" i="1"/>
  <c r="D49" i="1"/>
  <c r="N45" i="1"/>
  <c r="H124" i="1"/>
  <c r="N124" i="1"/>
  <c r="F187" i="1"/>
  <c r="H302" i="1"/>
  <c r="O302" i="1"/>
  <c r="M328" i="1"/>
  <c r="M330" i="1" s="1"/>
  <c r="I373" i="1"/>
  <c r="I375" i="1"/>
  <c r="N375" i="1"/>
  <c r="O366" i="1"/>
  <c r="H155" i="1"/>
  <c r="P404" i="1"/>
  <c r="J362" i="1"/>
  <c r="K360" i="1"/>
  <c r="H328" i="1"/>
  <c r="P375" i="1"/>
  <c r="H88" i="1"/>
  <c r="J109" i="1"/>
  <c r="R190" i="1"/>
  <c r="R203" i="1" s="1"/>
  <c r="F362" i="1"/>
  <c r="P55" i="1"/>
  <c r="I45" i="1"/>
  <c r="O45" i="1"/>
  <c r="F302" i="1"/>
  <c r="J302" i="1"/>
  <c r="G328" i="1"/>
  <c r="N328" i="1"/>
  <c r="R330" i="1"/>
  <c r="R346" i="1" s="1"/>
  <c r="G365" i="1"/>
  <c r="F375" i="1"/>
  <c r="J375" i="1"/>
  <c r="D112" i="1"/>
  <c r="G111" i="1"/>
  <c r="J111" i="1"/>
  <c r="N109" i="1"/>
  <c r="F43" i="1"/>
  <c r="G43" i="1"/>
  <c r="H43" i="1"/>
  <c r="I43" i="1"/>
  <c r="J43" i="1"/>
  <c r="K43" i="1"/>
  <c r="M43" i="1"/>
  <c r="N43" i="1"/>
  <c r="O43" i="1"/>
  <c r="P43" i="1"/>
  <c r="K185" i="1"/>
  <c r="J185" i="1"/>
  <c r="F185" i="1"/>
  <c r="E190" i="1"/>
  <c r="N185" i="1"/>
  <c r="M185" i="1"/>
  <c r="H185" i="1"/>
  <c r="O185" i="1"/>
  <c r="G185" i="1"/>
  <c r="P185" i="1"/>
  <c r="I185" i="1"/>
  <c r="N44" i="1"/>
  <c r="O44" i="1"/>
  <c r="P44" i="1"/>
  <c r="M44" i="1"/>
  <c r="F44" i="1"/>
  <c r="G44" i="1"/>
  <c r="H44" i="1"/>
  <c r="I44" i="1"/>
  <c r="J44" i="1"/>
  <c r="K44" i="1"/>
  <c r="P329" i="1"/>
  <c r="P330" i="1" s="1"/>
  <c r="N329" i="1"/>
  <c r="L329" i="1"/>
  <c r="L330" i="1" s="1"/>
  <c r="I329" i="1"/>
  <c r="G329" i="1"/>
  <c r="P356" i="1"/>
  <c r="K356" i="1"/>
  <c r="G356" i="1"/>
  <c r="O356" i="1"/>
  <c r="J356" i="1"/>
  <c r="F356" i="1"/>
  <c r="M363" i="1"/>
  <c r="H363" i="1"/>
  <c r="P363" i="1"/>
  <c r="K363" i="1"/>
  <c r="G363" i="1"/>
  <c r="M362" i="1"/>
  <c r="H362" i="1"/>
  <c r="P362" i="1"/>
  <c r="K362" i="1"/>
  <c r="G362" i="1"/>
  <c r="E364" i="1"/>
  <c r="D367" i="1"/>
  <c r="O187" i="1"/>
  <c r="J187" i="1"/>
  <c r="F361" i="1"/>
  <c r="N88" i="1"/>
  <c r="N356" i="1"/>
  <c r="P48" i="1"/>
  <c r="O48" i="1"/>
  <c r="N48" i="1"/>
  <c r="I57" i="1"/>
  <c r="H45" i="1"/>
  <c r="F186" i="1"/>
  <c r="N187" i="1"/>
  <c r="E224" i="1"/>
  <c r="H373" i="1"/>
  <c r="G366" i="1"/>
  <c r="I109" i="1"/>
  <c r="M109" i="1"/>
  <c r="N363" i="1"/>
  <c r="I356" i="1"/>
  <c r="O361" i="1"/>
  <c r="J361" i="1"/>
  <c r="N361" i="1"/>
  <c r="I361" i="1"/>
  <c r="P88" i="1"/>
  <c r="K88" i="1"/>
  <c r="G88" i="1"/>
  <c r="O88" i="1"/>
  <c r="J88" i="1"/>
  <c r="F88" i="1"/>
  <c r="P105" i="1"/>
  <c r="O105" i="1"/>
  <c r="N105" i="1"/>
  <c r="M105" i="1"/>
  <c r="J105" i="1"/>
  <c r="P107" i="1"/>
  <c r="O107" i="1"/>
  <c r="N107" i="1"/>
  <c r="M107" i="1"/>
  <c r="K107" i="1"/>
  <c r="J107" i="1"/>
  <c r="N360" i="1"/>
  <c r="I360" i="1"/>
  <c r="M360" i="1"/>
  <c r="H360" i="1"/>
  <c r="M45" i="1"/>
  <c r="K45" i="1"/>
  <c r="F45" i="1"/>
  <c r="P124" i="1"/>
  <c r="K124" i="1"/>
  <c r="F124" i="1"/>
  <c r="O186" i="1"/>
  <c r="N186" i="1"/>
  <c r="M186" i="1"/>
  <c r="H186" i="1"/>
  <c r="G186" i="1"/>
  <c r="N366" i="1"/>
  <c r="I366" i="1"/>
  <c r="M366" i="1"/>
  <c r="H366" i="1"/>
  <c r="P306" i="1"/>
  <c r="K306" i="1"/>
  <c r="G306" i="1"/>
  <c r="O306" i="1"/>
  <c r="J306" i="1"/>
  <c r="F306" i="1"/>
  <c r="D358" i="1"/>
  <c r="E358" i="1"/>
  <c r="G57" i="1"/>
  <c r="H187" i="1"/>
  <c r="P187" i="1"/>
  <c r="P361" i="1"/>
  <c r="I363" i="1"/>
  <c r="G116" i="1"/>
  <c r="J116" i="1"/>
  <c r="P116" i="1"/>
  <c r="E114" i="1"/>
  <c r="D190" i="1"/>
  <c r="K187" i="1"/>
  <c r="M187" i="1"/>
  <c r="F329" i="1"/>
  <c r="O329" i="1"/>
  <c r="M88" i="1"/>
  <c r="I107" i="1"/>
  <c r="R118" i="1"/>
  <c r="F363" i="1"/>
  <c r="O363" i="1"/>
  <c r="F360" i="1"/>
  <c r="P360" i="1"/>
  <c r="M356" i="1"/>
  <c r="F328" i="1"/>
  <c r="J328" i="1"/>
  <c r="J330" i="1" s="1"/>
  <c r="O223" i="1" l="1"/>
  <c r="O224" i="1" s="1"/>
  <c r="M223" i="1"/>
  <c r="M224" i="1" s="1"/>
  <c r="I223" i="1"/>
  <c r="I224" i="1" s="1"/>
  <c r="G223" i="1"/>
  <c r="G224" i="1" s="1"/>
  <c r="P223" i="1"/>
  <c r="P224" i="1" s="1"/>
  <c r="N223" i="1"/>
  <c r="N224" i="1" s="1"/>
  <c r="L223" i="1"/>
  <c r="L224" i="1" s="1"/>
  <c r="J223" i="1"/>
  <c r="J224" i="1" s="1"/>
  <c r="H223" i="1"/>
  <c r="H224" i="1" s="1"/>
  <c r="F223" i="1"/>
  <c r="F224" i="1" s="1"/>
  <c r="R378" i="1"/>
  <c r="R129" i="1"/>
  <c r="R60" i="1"/>
  <c r="P79" i="1"/>
  <c r="P80" i="1" s="1"/>
  <c r="L79" i="1"/>
  <c r="L80" i="1" s="1"/>
  <c r="G79" i="1"/>
  <c r="G80" i="1" s="1"/>
  <c r="O79" i="1"/>
  <c r="O80" i="1" s="1"/>
  <c r="J79" i="1"/>
  <c r="J80" i="1" s="1"/>
  <c r="F79" i="1"/>
  <c r="F80" i="1" s="1"/>
  <c r="M79" i="1"/>
  <c r="M80" i="1" s="1"/>
  <c r="N79" i="1"/>
  <c r="N80" i="1" s="1"/>
  <c r="I79" i="1"/>
  <c r="I80" i="1" s="1"/>
  <c r="H79" i="1"/>
  <c r="H80" i="1" s="1"/>
  <c r="K112" i="1"/>
  <c r="F112" i="1"/>
  <c r="N330" i="1"/>
  <c r="H330" i="1"/>
  <c r="F330" i="1"/>
  <c r="G330" i="1"/>
  <c r="G49" i="1"/>
  <c r="O330" i="1"/>
  <c r="G112" i="1"/>
  <c r="I330" i="1"/>
  <c r="I190" i="1"/>
  <c r="P49" i="1"/>
  <c r="N112" i="1"/>
  <c r="O190" i="1"/>
  <c r="G190" i="1"/>
  <c r="K190" i="1"/>
  <c r="M49" i="1"/>
  <c r="H49" i="1"/>
  <c r="J112" i="1"/>
  <c r="P112" i="1"/>
  <c r="J190" i="1"/>
  <c r="I49" i="1"/>
  <c r="I112" i="1"/>
  <c r="O112" i="1"/>
  <c r="M364" i="1"/>
  <c r="M367" i="1" s="1"/>
  <c r="H364" i="1"/>
  <c r="H367" i="1" s="1"/>
  <c r="P364" i="1"/>
  <c r="P367" i="1" s="1"/>
  <c r="K364" i="1"/>
  <c r="K367" i="1" s="1"/>
  <c r="G364" i="1"/>
  <c r="G367" i="1" s="1"/>
  <c r="J364" i="1"/>
  <c r="J367" i="1" s="1"/>
  <c r="N364" i="1"/>
  <c r="N367" i="1" s="1"/>
  <c r="F364" i="1"/>
  <c r="F367" i="1" s="1"/>
  <c r="I364" i="1"/>
  <c r="I367" i="1" s="1"/>
  <c r="O364" i="1"/>
  <c r="O367" i="1" s="1"/>
  <c r="H358" i="1"/>
  <c r="K358" i="1"/>
  <c r="G358" i="1"/>
  <c r="J358" i="1"/>
  <c r="N358" i="1"/>
  <c r="P358" i="1"/>
  <c r="O358" i="1"/>
  <c r="I358" i="1"/>
  <c r="F358" i="1"/>
  <c r="M358" i="1"/>
  <c r="N190" i="1"/>
  <c r="P190" i="1"/>
  <c r="M190" i="1"/>
  <c r="N49" i="1"/>
  <c r="M112" i="1"/>
  <c r="H190" i="1"/>
  <c r="F190" i="1"/>
  <c r="O49" i="1"/>
  <c r="J49" i="1"/>
  <c r="F49" i="1"/>
  <c r="O114" i="1"/>
  <c r="O118" i="1" s="1"/>
  <c r="G114" i="1"/>
  <c r="G118" i="1" s="1"/>
  <c r="F114" i="1"/>
  <c r="F118" i="1" s="1"/>
  <c r="N114" i="1"/>
  <c r="N118" i="1" s="1"/>
  <c r="J114" i="1"/>
  <c r="J118" i="1" s="1"/>
  <c r="M114" i="1"/>
  <c r="M118" i="1" s="1"/>
  <c r="I114" i="1"/>
  <c r="I118" i="1" s="1"/>
  <c r="P114" i="1"/>
  <c r="P118" i="1" s="1"/>
  <c r="K114" i="1"/>
  <c r="K118" i="1" s="1"/>
  <c r="H114" i="1"/>
  <c r="H118" i="1" s="1"/>
  <c r="E118" i="1"/>
  <c r="K49" i="1"/>
</calcChain>
</file>

<file path=xl/sharedStrings.xml><?xml version="1.0" encoding="utf-8"?>
<sst xmlns="http://schemas.openxmlformats.org/spreadsheetml/2006/main" count="597" uniqueCount="136">
  <si>
    <t>Наименование блюда</t>
  </si>
  <si>
    <t>Белки</t>
  </si>
  <si>
    <t>Жиры</t>
  </si>
  <si>
    <t>Углеводы</t>
  </si>
  <si>
    <t>э/ц ккл</t>
  </si>
  <si>
    <t>Витамины, мг на 100 г</t>
  </si>
  <si>
    <t>Минеральные в-ва</t>
  </si>
  <si>
    <t>В1</t>
  </si>
  <si>
    <t>С</t>
  </si>
  <si>
    <t>А</t>
  </si>
  <si>
    <t>Са</t>
  </si>
  <si>
    <t>Р</t>
  </si>
  <si>
    <t>Mg</t>
  </si>
  <si>
    <t>Fe</t>
  </si>
  <si>
    <t>ДЕНЬ № 1</t>
  </si>
  <si>
    <t>морковь</t>
  </si>
  <si>
    <t>капуста</t>
  </si>
  <si>
    <t>растит. масло</t>
  </si>
  <si>
    <t>всего грамм</t>
  </si>
  <si>
    <t>нетто</t>
  </si>
  <si>
    <t>отх</t>
  </si>
  <si>
    <t>крупа гречневая</t>
  </si>
  <si>
    <t>масло сливочное</t>
  </si>
  <si>
    <t>мясо говядина</t>
  </si>
  <si>
    <t>масло растительное</t>
  </si>
  <si>
    <t>томат</t>
  </si>
  <si>
    <t>количество детей</t>
  </si>
  <si>
    <t>2день</t>
  </si>
  <si>
    <t>Меню</t>
  </si>
  <si>
    <t>Хлеб</t>
  </si>
  <si>
    <t>Соль</t>
  </si>
  <si>
    <t>Курица</t>
  </si>
  <si>
    <t>Картофель</t>
  </si>
  <si>
    <t>Лук</t>
  </si>
  <si>
    <t>Морковь</t>
  </si>
  <si>
    <t>Капуста</t>
  </si>
  <si>
    <t>Свекла</t>
  </si>
  <si>
    <t>Макаронные изд.</t>
  </si>
  <si>
    <t>Пшеничная крупа</t>
  </si>
  <si>
    <t>еленый горошек</t>
  </si>
  <si>
    <t>Гречка</t>
  </si>
  <si>
    <t>Мясо</t>
  </si>
  <si>
    <t>Фарш</t>
  </si>
  <si>
    <t>Яблоки</t>
  </si>
  <si>
    <t>Мука</t>
  </si>
  <si>
    <t>Масло растительное</t>
  </si>
  <si>
    <t>Масло сливочное</t>
  </si>
  <si>
    <t>Сухофрукты</t>
  </si>
  <si>
    <t>Сахар</t>
  </si>
  <si>
    <t>Томат</t>
  </si>
  <si>
    <t>Банан</t>
  </si>
  <si>
    <t>чай</t>
  </si>
  <si>
    <t>горох</t>
  </si>
  <si>
    <t>салат свекольный</t>
  </si>
  <si>
    <t>суп гороховый на к/б</t>
  </si>
  <si>
    <t>хлеб</t>
  </si>
  <si>
    <t>компот из сухофр</t>
  </si>
  <si>
    <t>бананы</t>
  </si>
  <si>
    <t>курица отварная</t>
  </si>
  <si>
    <t xml:space="preserve">                                                                                      </t>
  </si>
  <si>
    <t>Итого на 1 человека</t>
  </si>
  <si>
    <t>Итого к выдаче</t>
  </si>
  <si>
    <t>Цена</t>
  </si>
  <si>
    <t>На сумму:</t>
  </si>
  <si>
    <t>Стоимость д/дня</t>
  </si>
  <si>
    <t>цена</t>
  </si>
  <si>
    <t>сухофрукты</t>
  </si>
  <si>
    <t>сахар</t>
  </si>
  <si>
    <t>итого</t>
  </si>
  <si>
    <t>ДЕНЬ № 2</t>
  </si>
  <si>
    <t>свекла</t>
  </si>
  <si>
    <t>картофель</t>
  </si>
  <si>
    <t>лук</t>
  </si>
  <si>
    <t xml:space="preserve">курица </t>
  </si>
  <si>
    <t>соль</t>
  </si>
  <si>
    <t>ДЕНЬ № 3</t>
  </si>
  <si>
    <t>зел.горох</t>
  </si>
  <si>
    <t>горох лущенный</t>
  </si>
  <si>
    <t>макароны</t>
  </si>
  <si>
    <t>ДЕНЬ № 4</t>
  </si>
  <si>
    <t>мука</t>
  </si>
  <si>
    <t>ДЕНЬ № 5</t>
  </si>
  <si>
    <t>ДЕНЬ № 6</t>
  </si>
  <si>
    <t>ДЕНЬ № 7</t>
  </si>
  <si>
    <t>ДЕНЬ № 8</t>
  </si>
  <si>
    <t>ДЕНЬ № 9</t>
  </si>
  <si>
    <t>ДЕНЬ № 10</t>
  </si>
  <si>
    <t>ДЕНЬ № 11</t>
  </si>
  <si>
    <t xml:space="preserve"> </t>
  </si>
  <si>
    <t xml:space="preserve">рис </t>
  </si>
  <si>
    <t>Примерное 12-дневное меню для школьников за 2021 год</t>
  </si>
  <si>
    <t xml:space="preserve">1.салат из овощей </t>
  </si>
  <si>
    <t>6.Яблоки</t>
  </si>
  <si>
    <t>7.Соль</t>
  </si>
  <si>
    <t xml:space="preserve"> всего грамм</t>
  </si>
  <si>
    <t xml:space="preserve">Утверждаю:   </t>
  </si>
  <si>
    <t>Начальник ОО и МУ МР"Кайтагский район"</t>
  </si>
  <si>
    <t>Магомедов Ш.Р.</t>
  </si>
  <si>
    <t xml:space="preserve">Согласовано:   </t>
  </si>
  <si>
    <t xml:space="preserve">Начальник ТО Управления Роспотребнадзора </t>
  </si>
  <si>
    <t>Мятов Н.Г.</t>
  </si>
  <si>
    <t>администрации МР"Кайтагский район"</t>
  </si>
  <si>
    <t>6.бананы</t>
  </si>
  <si>
    <t>7.соль</t>
  </si>
  <si>
    <t>3.хлеб</t>
  </si>
  <si>
    <t>4.чай</t>
  </si>
  <si>
    <t>6.соль</t>
  </si>
  <si>
    <t>ДЕНЬ № 12</t>
  </si>
  <si>
    <t>2.курица в духовке</t>
  </si>
  <si>
    <t>6.яблоки</t>
  </si>
  <si>
    <t>4.компот</t>
  </si>
  <si>
    <t>5.мандарины</t>
  </si>
  <si>
    <t>5.печенье</t>
  </si>
  <si>
    <t>5.яблоки</t>
  </si>
  <si>
    <t xml:space="preserve">сумма </t>
  </si>
  <si>
    <t>сумма</t>
  </si>
  <si>
    <t>по РД " Кайтагском районе"</t>
  </si>
  <si>
    <t>1.макароны отварные</t>
  </si>
  <si>
    <t>3.Хлеб</t>
  </si>
  <si>
    <t xml:space="preserve">2.суп картофельный с горохом,говядиной </t>
  </si>
  <si>
    <t>5.бананы</t>
  </si>
  <si>
    <t>1.суп с картофелем,мясными фрикадельками</t>
  </si>
  <si>
    <t>мясо говядины</t>
  </si>
  <si>
    <t xml:space="preserve">1.плов рисовый из отварного куриного мяса </t>
  </si>
  <si>
    <t>2.картофельное пюре</t>
  </si>
  <si>
    <t>1.запеканка картофельная с куриным филе</t>
  </si>
  <si>
    <t>2.салат овощной</t>
  </si>
  <si>
    <t>1.жаркое по-домашнему</t>
  </si>
  <si>
    <t>2.борщ с капустой на мясном бульоне</t>
  </si>
  <si>
    <t>1.каша гречневая</t>
  </si>
  <si>
    <t>2.салат из овощей</t>
  </si>
  <si>
    <t>2.гуляш из говядины</t>
  </si>
  <si>
    <t>Примерное двухнедельное меню для образовательных учреждений администрации МР "Кайтагский район"                                                                         В период с 01.04.2021г.по 13.04.2021г.</t>
  </si>
  <si>
    <t>крупа пшеничная</t>
  </si>
  <si>
    <t>2.каша пшеничная</t>
  </si>
  <si>
    <t>фарш говяжий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</si>
</sst>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</font>
    <font>
      <b/>
      <sz val="9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name val="Calibri"/>
      <family val="2"/>
      <charset val="204"/>
    </font>
    <font>
      <sz val="16"/>
      <color theme="1"/>
      <name val="Calibri"/>
      <family val="2"/>
      <charset val="204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  <charset val="204"/>
      <scheme val="minor"/>
    </font>
    <font>
      <b/>
      <sz val="16"/>
      <color indexed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08">
    <xf numFmtId="0" fontId="0" fillId="0" borderId="0" xfId="0"/>
    <xf numFmtId="0" fontId="8" fillId="0" borderId="2" xfId="1" applyNumberFormat="1" applyFont="1" applyFill="1" applyBorder="1" applyAlignment="1" applyProtection="1">
      <alignment horizontal="left" vertical="top" wrapText="1"/>
    </xf>
    <xf numFmtId="2" fontId="0" fillId="0" borderId="1" xfId="0" applyNumberFormat="1" applyBorder="1"/>
    <xf numFmtId="2" fontId="11" fillId="0" borderId="1" xfId="0" applyNumberFormat="1" applyFont="1" applyBorder="1"/>
    <xf numFmtId="2" fontId="4" fillId="0" borderId="1" xfId="0" applyNumberFormat="1" applyFont="1" applyBorder="1"/>
    <xf numFmtId="0" fontId="10" fillId="0" borderId="0" xfId="0" applyFont="1" applyAlignment="1" applyProtection="1">
      <alignment horizontal="right"/>
      <protection locked="0"/>
    </xf>
    <xf numFmtId="0" fontId="12" fillId="0" borderId="4" xfId="0" applyFont="1" applyBorder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textRotation="90" wrapText="1"/>
    </xf>
    <xf numFmtId="0" fontId="10" fillId="0" borderId="1" xfId="0" applyFont="1" applyBorder="1" applyAlignment="1" applyProtection="1">
      <alignment textRotation="90" wrapText="1"/>
      <protection locked="0"/>
    </xf>
    <xf numFmtId="0" fontId="10" fillId="0" borderId="1" xfId="0" applyFont="1" applyBorder="1" applyProtection="1">
      <protection locked="0"/>
    </xf>
    <xf numFmtId="164" fontId="10" fillId="0" borderId="1" xfId="0" applyNumberFormat="1" applyFont="1" applyBorder="1" applyProtection="1">
      <protection locked="0"/>
    </xf>
    <xf numFmtId="164" fontId="10" fillId="0" borderId="5" xfId="0" applyNumberFormat="1" applyFont="1" applyBorder="1" applyProtection="1">
      <protection locked="0"/>
    </xf>
    <xf numFmtId="164" fontId="10" fillId="0" borderId="1" xfId="0" applyNumberFormat="1" applyFont="1" applyBorder="1" applyProtection="1"/>
    <xf numFmtId="2" fontId="10" fillId="0" borderId="1" xfId="0" applyNumberFormat="1" applyFont="1" applyBorder="1" applyProtection="1"/>
    <xf numFmtId="0" fontId="10" fillId="0" borderId="1" xfId="0" applyFont="1" applyBorder="1" applyProtection="1"/>
    <xf numFmtId="2" fontId="10" fillId="0" borderId="6" xfId="0" applyNumberFormat="1" applyFont="1" applyBorder="1" applyAlignment="1" applyProtection="1">
      <alignment horizontal="center"/>
    </xf>
    <xf numFmtId="2" fontId="10" fillId="0" borderId="7" xfId="0" applyNumberFormat="1" applyFont="1" applyBorder="1" applyAlignment="1" applyProtection="1">
      <alignment horizontal="center"/>
    </xf>
    <xf numFmtId="2" fontId="10" fillId="0" borderId="0" xfId="0" applyNumberFormat="1" applyFont="1" applyBorder="1" applyAlignment="1" applyProtection="1">
      <alignment horizontal="center"/>
      <protection locked="0"/>
    </xf>
    <xf numFmtId="2" fontId="13" fillId="0" borderId="1" xfId="0" applyNumberFormat="1" applyFont="1" applyBorder="1"/>
    <xf numFmtId="0" fontId="14" fillId="0" borderId="1" xfId="0" applyFont="1" applyBorder="1"/>
    <xf numFmtId="164" fontId="4" fillId="0" borderId="1" xfId="0" applyNumberFormat="1" applyFont="1" applyBorder="1"/>
    <xf numFmtId="1" fontId="0" fillId="0" borderId="1" xfId="0" applyNumberFormat="1" applyBorder="1"/>
    <xf numFmtId="2" fontId="13" fillId="0" borderId="0" xfId="0" applyNumberFormat="1" applyFont="1"/>
    <xf numFmtId="0" fontId="15" fillId="0" borderId="1" xfId="1" applyNumberFormat="1" applyFont="1" applyFill="1" applyBorder="1" applyAlignment="1" applyProtection="1">
      <alignment horizontal="left" vertical="top" wrapText="1"/>
    </xf>
    <xf numFmtId="2" fontId="14" fillId="0" borderId="1" xfId="0" applyNumberFormat="1" applyFont="1" applyBorder="1"/>
    <xf numFmtId="0" fontId="17" fillId="2" borderId="0" xfId="0" applyFont="1" applyFill="1" applyAlignment="1"/>
    <xf numFmtId="0" fontId="17" fillId="2" borderId="2" xfId="0" applyFont="1" applyFill="1" applyBorder="1" applyAlignment="1"/>
    <xf numFmtId="1" fontId="14" fillId="0" borderId="1" xfId="0" applyNumberFormat="1" applyFont="1" applyBorder="1"/>
    <xf numFmtId="2" fontId="18" fillId="0" borderId="1" xfId="0" applyNumberFormat="1" applyFont="1" applyBorder="1"/>
    <xf numFmtId="2" fontId="18" fillId="0" borderId="0" xfId="0" applyNumberFormat="1" applyFont="1" applyBorder="1"/>
    <xf numFmtId="1" fontId="18" fillId="0" borderId="1" xfId="0" applyNumberFormat="1" applyFont="1" applyBorder="1"/>
    <xf numFmtId="0" fontId="18" fillId="0" borderId="0" xfId="0" applyFont="1"/>
    <xf numFmtId="1" fontId="18" fillId="0" borderId="0" xfId="0" applyNumberFormat="1" applyFont="1" applyBorder="1"/>
    <xf numFmtId="2" fontId="13" fillId="0" borderId="0" xfId="0" applyNumberFormat="1" applyFont="1" applyBorder="1"/>
    <xf numFmtId="0" fontId="22" fillId="0" borderId="0" xfId="0" applyFont="1"/>
    <xf numFmtId="0" fontId="20" fillId="0" borderId="0" xfId="0" applyFont="1" applyAlignment="1">
      <alignment vertical="center"/>
    </xf>
    <xf numFmtId="0" fontId="17" fillId="0" borderId="0" xfId="1" applyNumberFormat="1" applyFont="1" applyFill="1" applyBorder="1" applyAlignment="1" applyProtection="1">
      <alignment horizontal="center" vertical="center"/>
    </xf>
    <xf numFmtId="0" fontId="21" fillId="0" borderId="0" xfId="1" applyNumberFormat="1" applyFont="1" applyFill="1" applyBorder="1" applyAlignment="1" applyProtection="1">
      <alignment vertical="center"/>
    </xf>
    <xf numFmtId="0" fontId="21" fillId="2" borderId="0" xfId="1" applyNumberFormat="1" applyFont="1" applyFill="1" applyBorder="1" applyAlignment="1" applyProtection="1">
      <alignment vertical="center"/>
    </xf>
    <xf numFmtId="0" fontId="15" fillId="0" borderId="1" xfId="1" applyNumberFormat="1" applyFont="1" applyFill="1" applyBorder="1" applyAlignment="1" applyProtection="1">
      <alignment horizontal="left" vertical="center" wrapText="1"/>
    </xf>
    <xf numFmtId="2" fontId="15" fillId="0" borderId="1" xfId="0" applyNumberFormat="1" applyFont="1" applyBorder="1" applyAlignment="1">
      <alignment vertical="center"/>
    </xf>
    <xf numFmtId="0" fontId="17" fillId="2" borderId="1" xfId="0" applyFont="1" applyFill="1" applyBorder="1" applyAlignment="1"/>
    <xf numFmtId="2" fontId="18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4" fillId="0" borderId="12" xfId="0" applyFont="1" applyBorder="1"/>
    <xf numFmtId="0" fontId="6" fillId="0" borderId="2" xfId="1" applyNumberFormat="1" applyFont="1" applyFill="1" applyBorder="1" applyAlignment="1" applyProtection="1">
      <alignment vertical="center" wrapText="1"/>
    </xf>
    <xf numFmtId="2" fontId="27" fillId="0" borderId="1" xfId="0" applyNumberFormat="1" applyFont="1" applyBorder="1"/>
    <xf numFmtId="2" fontId="18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vertical="center"/>
    </xf>
    <xf numFmtId="2" fontId="29" fillId="0" borderId="1" xfId="0" applyNumberFormat="1" applyFont="1" applyBorder="1" applyAlignment="1">
      <alignment vertical="center"/>
    </xf>
    <xf numFmtId="1" fontId="15" fillId="0" borderId="1" xfId="0" applyNumberFormat="1" applyFont="1" applyBorder="1"/>
    <xf numFmtId="2" fontId="17" fillId="2" borderId="1" xfId="0" applyNumberFormat="1" applyFont="1" applyFill="1" applyBorder="1" applyAlignment="1"/>
    <xf numFmtId="2" fontId="15" fillId="0" borderId="1" xfId="1" applyNumberFormat="1" applyFont="1" applyFill="1" applyBorder="1" applyAlignment="1" applyProtection="1">
      <alignment horizontal="left" vertical="center" wrapText="1"/>
    </xf>
    <xf numFmtId="2" fontId="14" fillId="0" borderId="1" xfId="0" applyNumberFormat="1" applyFont="1" applyBorder="1" applyAlignment="1">
      <alignment horizontal="center" vertical="center"/>
    </xf>
    <xf numFmtId="0" fontId="33" fillId="0" borderId="1" xfId="0" applyFont="1" applyBorder="1"/>
    <xf numFmtId="2" fontId="32" fillId="0" borderId="1" xfId="0" applyNumberFormat="1" applyFont="1" applyBorder="1" applyAlignment="1">
      <alignment vertical="center"/>
    </xf>
    <xf numFmtId="0" fontId="0" fillId="0" borderId="0" xfId="0" applyFont="1"/>
    <xf numFmtId="1" fontId="18" fillId="0" borderId="1" xfId="0" applyNumberFormat="1" applyFont="1" applyBorder="1" applyAlignment="1"/>
    <xf numFmtId="0" fontId="0" fillId="0" borderId="0" xfId="0" applyAlignment="1"/>
    <xf numFmtId="0" fontId="0" fillId="0" borderId="1" xfId="0" applyBorder="1" applyAlignment="1"/>
    <xf numFmtId="0" fontId="14" fillId="0" borderId="1" xfId="0" applyFont="1" applyBorder="1" applyAlignment="1"/>
    <xf numFmtId="0" fontId="0" fillId="0" borderId="0" xfId="0" applyAlignment="1">
      <alignment vertical="center"/>
    </xf>
    <xf numFmtId="1" fontId="1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3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2" fontId="14" fillId="0" borderId="1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1" fontId="14" fillId="0" borderId="1" xfId="0" applyNumberFormat="1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/>
    </xf>
    <xf numFmtId="1" fontId="39" fillId="0" borderId="1" xfId="0" applyNumberFormat="1" applyFont="1" applyBorder="1"/>
    <xf numFmtId="0" fontId="40" fillId="0" borderId="0" xfId="0" applyFont="1"/>
    <xf numFmtId="1" fontId="28" fillId="0" borderId="1" xfId="0" applyNumberFormat="1" applyFont="1" applyBorder="1"/>
    <xf numFmtId="0" fontId="35" fillId="0" borderId="0" xfId="0" applyFont="1"/>
    <xf numFmtId="0" fontId="42" fillId="0" borderId="0" xfId="0" applyFont="1"/>
    <xf numFmtId="2" fontId="4" fillId="0" borderId="1" xfId="0" applyNumberFormat="1" applyFont="1" applyBorder="1" applyAlignment="1">
      <alignment horizontal="right"/>
    </xf>
    <xf numFmtId="2" fontId="45" fillId="0" borderId="1" xfId="0" applyNumberFormat="1" applyFont="1" applyBorder="1"/>
    <xf numFmtId="0" fontId="1" fillId="0" borderId="0" xfId="0" applyFont="1"/>
    <xf numFmtId="0" fontId="34" fillId="0" borderId="0" xfId="0" applyFont="1"/>
    <xf numFmtId="1" fontId="47" fillId="0" borderId="1" xfId="0" applyNumberFormat="1" applyFont="1" applyBorder="1"/>
    <xf numFmtId="0" fontId="34" fillId="0" borderId="0" xfId="0" applyFont="1" applyAlignment="1">
      <alignment horizontal="left"/>
    </xf>
    <xf numFmtId="2" fontId="14" fillId="0" borderId="8" xfId="0" applyNumberFormat="1" applyFont="1" applyBorder="1" applyAlignment="1">
      <alignment horizontal="left"/>
    </xf>
    <xf numFmtId="2" fontId="14" fillId="0" borderId="1" xfId="1" applyNumberFormat="1" applyFont="1" applyFill="1" applyBorder="1" applyAlignment="1" applyProtection="1">
      <alignment horizontal="left" wrapText="1"/>
    </xf>
    <xf numFmtId="2" fontId="14" fillId="0" borderId="1" xfId="0" applyNumberFormat="1" applyFont="1" applyBorder="1" applyAlignment="1">
      <alignment horizontal="left"/>
    </xf>
    <xf numFmtId="0" fontId="1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Font="1" applyAlignment="1">
      <alignment vertical="center"/>
    </xf>
    <xf numFmtId="1" fontId="14" fillId="0" borderId="1" xfId="0" applyNumberFormat="1" applyFont="1" applyBorder="1" applyAlignment="1">
      <alignment vertical="center"/>
    </xf>
    <xf numFmtId="0" fontId="3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14" fillId="0" borderId="2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2" fontId="14" fillId="0" borderId="1" xfId="0" applyNumberFormat="1" applyFont="1" applyBorder="1" applyAlignment="1">
      <alignment vertical="center"/>
    </xf>
    <xf numFmtId="0" fontId="46" fillId="0" borderId="0" xfId="0" applyFont="1" applyAlignment="1"/>
    <xf numFmtId="1" fontId="14" fillId="3" borderId="1" xfId="0" applyNumberFormat="1" applyFont="1" applyFill="1" applyBorder="1"/>
    <xf numFmtId="2" fontId="14" fillId="3" borderId="1" xfId="0" applyNumberFormat="1" applyFont="1" applyFill="1" applyBorder="1"/>
    <xf numFmtId="2" fontId="4" fillId="3" borderId="1" xfId="0" applyNumberFormat="1" applyFont="1" applyFill="1" applyBorder="1"/>
    <xf numFmtId="1" fontId="18" fillId="3" borderId="1" xfId="0" applyNumberFormat="1" applyFont="1" applyFill="1" applyBorder="1"/>
    <xf numFmtId="164" fontId="4" fillId="3" borderId="1" xfId="0" applyNumberFormat="1" applyFont="1" applyFill="1" applyBorder="1"/>
    <xf numFmtId="2" fontId="13" fillId="3" borderId="1" xfId="0" applyNumberFormat="1" applyFont="1" applyFill="1" applyBorder="1"/>
    <xf numFmtId="2" fontId="0" fillId="0" borderId="0" xfId="0" applyNumberFormat="1"/>
    <xf numFmtId="0" fontId="17" fillId="3" borderId="2" xfId="0" applyFont="1" applyFill="1" applyBorder="1" applyAlignment="1"/>
    <xf numFmtId="0" fontId="8" fillId="3" borderId="2" xfId="1" applyNumberFormat="1" applyFont="1" applyFill="1" applyBorder="1" applyAlignment="1" applyProtection="1">
      <alignment horizontal="left" vertical="top" wrapText="1"/>
    </xf>
    <xf numFmtId="0" fontId="14" fillId="3" borderId="1" xfId="0" applyFont="1" applyFill="1" applyBorder="1"/>
    <xf numFmtId="0" fontId="0" fillId="3" borderId="1" xfId="0" applyFill="1" applyBorder="1"/>
    <xf numFmtId="2" fontId="0" fillId="3" borderId="1" xfId="0" applyNumberFormat="1" applyFill="1" applyBorder="1"/>
    <xf numFmtId="2" fontId="2" fillId="3" borderId="1" xfId="0" applyNumberFormat="1" applyFont="1" applyFill="1" applyBorder="1"/>
    <xf numFmtId="2" fontId="18" fillId="3" borderId="1" xfId="0" applyNumberFormat="1" applyFont="1" applyFill="1" applyBorder="1"/>
    <xf numFmtId="1" fontId="14" fillId="0" borderId="0" xfId="0" applyNumberFormat="1" applyFont="1" applyBorder="1"/>
    <xf numFmtId="0" fontId="26" fillId="0" borderId="5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35" fillId="0" borderId="10" xfId="0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2" fontId="14" fillId="0" borderId="9" xfId="0" applyNumberFormat="1" applyFont="1" applyBorder="1" applyAlignment="1">
      <alignment horizontal="center"/>
    </xf>
    <xf numFmtId="2" fontId="14" fillId="0" borderId="10" xfId="0" applyNumberFormat="1" applyFont="1" applyBorder="1" applyAlignment="1">
      <alignment horizontal="center"/>
    </xf>
    <xf numFmtId="2" fontId="48" fillId="0" borderId="5" xfId="1" applyNumberFormat="1" applyFont="1" applyFill="1" applyBorder="1" applyAlignment="1" applyProtection="1">
      <alignment horizontal="center" vertical="center" wrapText="1"/>
    </xf>
    <xf numFmtId="2" fontId="48" fillId="0" borderId="9" xfId="1" applyNumberFormat="1" applyFont="1" applyFill="1" applyBorder="1" applyAlignment="1" applyProtection="1">
      <alignment horizontal="center" vertical="center" wrapText="1"/>
    </xf>
    <xf numFmtId="2" fontId="48" fillId="0" borderId="10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11" xfId="1" applyNumberFormat="1" applyFont="1" applyFill="1" applyBorder="1" applyAlignment="1" applyProtection="1">
      <alignment horizontal="center" vertical="center"/>
    </xf>
    <xf numFmtId="0" fontId="6" fillId="0" borderId="8" xfId="1" applyNumberFormat="1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center" vertical="center" wrapText="1"/>
    </xf>
    <xf numFmtId="0" fontId="6" fillId="0" borderId="8" xfId="1" applyNumberFormat="1" applyFont="1" applyFill="1" applyBorder="1" applyAlignment="1" applyProtection="1">
      <alignment horizontal="center" vertical="center" wrapText="1"/>
    </xf>
    <xf numFmtId="2" fontId="25" fillId="0" borderId="5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7" fillId="0" borderId="2" xfId="1" applyNumberFormat="1" applyFont="1" applyFill="1" applyBorder="1" applyAlignment="1" applyProtection="1">
      <alignment horizontal="center" vertical="center"/>
    </xf>
    <xf numFmtId="0" fontId="17" fillId="0" borderId="11" xfId="1" applyNumberFormat="1" applyFont="1" applyFill="1" applyBorder="1" applyAlignment="1" applyProtection="1">
      <alignment horizontal="center" vertical="center"/>
    </xf>
    <xf numFmtId="0" fontId="17" fillId="0" borderId="8" xfId="1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2" borderId="2" xfId="1" applyNumberFormat="1" applyFont="1" applyFill="1" applyBorder="1" applyAlignment="1" applyProtection="1">
      <alignment horizontal="center" vertical="center"/>
    </xf>
    <xf numFmtId="0" fontId="6" fillId="2" borderId="8" xfId="1" applyNumberFormat="1" applyFont="1" applyFill="1" applyBorder="1" applyAlignment="1" applyProtection="1">
      <alignment horizontal="center" vertical="center"/>
    </xf>
    <xf numFmtId="0" fontId="21" fillId="2" borderId="2" xfId="1" applyNumberFormat="1" applyFont="1" applyFill="1" applyBorder="1" applyAlignment="1" applyProtection="1">
      <alignment horizontal="center" vertical="top"/>
    </xf>
    <xf numFmtId="0" fontId="21" fillId="2" borderId="11" xfId="1" applyNumberFormat="1" applyFont="1" applyFill="1" applyBorder="1" applyAlignment="1" applyProtection="1">
      <alignment horizontal="center" vertical="top"/>
    </xf>
    <xf numFmtId="0" fontId="21" fillId="2" borderId="8" xfId="1" applyNumberFormat="1" applyFont="1" applyFill="1" applyBorder="1" applyAlignment="1" applyProtection="1">
      <alignment horizontal="center" vertical="top"/>
    </xf>
    <xf numFmtId="0" fontId="30" fillId="2" borderId="2" xfId="1" applyNumberFormat="1" applyFont="1" applyFill="1" applyBorder="1" applyAlignment="1" applyProtection="1">
      <alignment horizontal="center" vertical="top" wrapText="1"/>
    </xf>
    <xf numFmtId="0" fontId="30" fillId="2" borderId="11" xfId="1" applyNumberFormat="1" applyFont="1" applyFill="1" applyBorder="1" applyAlignment="1" applyProtection="1">
      <alignment horizontal="center" vertical="top" wrapText="1"/>
    </xf>
    <xf numFmtId="0" fontId="30" fillId="2" borderId="8" xfId="1" applyNumberFormat="1" applyFont="1" applyFill="1" applyBorder="1" applyAlignment="1" applyProtection="1">
      <alignment horizontal="center" vertical="top" wrapText="1"/>
    </xf>
    <xf numFmtId="0" fontId="25" fillId="0" borderId="5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center"/>
    </xf>
    <xf numFmtId="2" fontId="36" fillId="0" borderId="5" xfId="0" applyNumberFormat="1" applyFont="1" applyBorder="1" applyAlignment="1">
      <alignment horizontal="center"/>
    </xf>
    <xf numFmtId="2" fontId="34" fillId="0" borderId="9" xfId="0" applyNumberFormat="1" applyFont="1" applyBorder="1" applyAlignment="1">
      <alignment horizontal="center"/>
    </xf>
    <xf numFmtId="2" fontId="34" fillId="0" borderId="10" xfId="0" applyNumberFormat="1" applyFont="1" applyBorder="1" applyAlignment="1">
      <alignment horizontal="center"/>
    </xf>
    <xf numFmtId="2" fontId="26" fillId="0" borderId="5" xfId="0" applyNumberFormat="1" applyFont="1" applyBorder="1" applyAlignment="1">
      <alignment horizontal="center"/>
    </xf>
    <xf numFmtId="2" fontId="44" fillId="0" borderId="9" xfId="0" applyNumberFormat="1" applyFont="1" applyBorder="1" applyAlignment="1">
      <alignment horizontal="center"/>
    </xf>
    <xf numFmtId="2" fontId="44" fillId="0" borderId="10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28" fillId="0" borderId="5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28" fillId="0" borderId="9" xfId="0" applyNumberFormat="1" applyFont="1" applyBorder="1" applyAlignment="1">
      <alignment horizontal="center"/>
    </xf>
    <xf numFmtId="2" fontId="28" fillId="0" borderId="10" xfId="0" applyNumberFormat="1" applyFont="1" applyBorder="1" applyAlignment="1">
      <alignment horizontal="center"/>
    </xf>
    <xf numFmtId="2" fontId="26" fillId="3" borderId="5" xfId="0" applyNumberFormat="1" applyFon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25" fillId="3" borderId="5" xfId="0" applyNumberFormat="1" applyFont="1" applyFill="1" applyBorder="1" applyAlignment="1">
      <alignment horizontal="center"/>
    </xf>
    <xf numFmtId="2" fontId="25" fillId="3" borderId="9" xfId="0" applyNumberFormat="1" applyFont="1" applyFill="1" applyBorder="1" applyAlignment="1">
      <alignment horizontal="center"/>
    </xf>
    <xf numFmtId="2" fontId="25" fillId="3" borderId="10" xfId="0" applyNumberFormat="1" applyFont="1" applyFill="1" applyBorder="1" applyAlignment="1">
      <alignment horizontal="center"/>
    </xf>
    <xf numFmtId="2" fontId="26" fillId="0" borderId="9" xfId="0" applyNumberFormat="1" applyFont="1" applyBorder="1" applyAlignment="1">
      <alignment horizontal="center"/>
    </xf>
    <xf numFmtId="2" fontId="26" fillId="0" borderId="10" xfId="0" applyNumberFormat="1" applyFont="1" applyBorder="1" applyAlignment="1">
      <alignment horizontal="center"/>
    </xf>
    <xf numFmtId="2" fontId="14" fillId="3" borderId="5" xfId="0" applyNumberFormat="1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0" fontId="17" fillId="2" borderId="2" xfId="1" applyNumberFormat="1" applyFont="1" applyFill="1" applyBorder="1" applyAlignment="1" applyProtection="1">
      <alignment horizontal="center" vertical="center"/>
    </xf>
    <xf numFmtId="0" fontId="17" fillId="2" borderId="11" xfId="1" applyNumberFormat="1" applyFont="1" applyFill="1" applyBorder="1" applyAlignment="1" applyProtection="1">
      <alignment horizontal="center" vertical="center"/>
    </xf>
    <xf numFmtId="0" fontId="17" fillId="2" borderId="8" xfId="1" applyNumberFormat="1" applyFont="1" applyFill="1" applyBorder="1" applyAlignment="1" applyProtection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2" fontId="17" fillId="2" borderId="2" xfId="1" applyNumberFormat="1" applyFont="1" applyFill="1" applyBorder="1" applyAlignment="1" applyProtection="1">
      <alignment horizontal="center" vertical="center"/>
    </xf>
    <xf numFmtId="2" fontId="17" fillId="2" borderId="8" xfId="1" applyNumberFormat="1" applyFont="1" applyFill="1" applyBorder="1" applyAlignment="1" applyProtection="1">
      <alignment horizontal="center" vertical="center"/>
    </xf>
    <xf numFmtId="2" fontId="17" fillId="0" borderId="1" xfId="1" applyNumberFormat="1" applyFont="1" applyFill="1" applyBorder="1" applyAlignment="1" applyProtection="1">
      <alignment horizontal="center" vertical="center"/>
    </xf>
    <xf numFmtId="2" fontId="17" fillId="2" borderId="2" xfId="0" applyNumberFormat="1" applyFont="1" applyFill="1" applyBorder="1" applyAlignment="1">
      <alignment horizontal="center"/>
    </xf>
    <xf numFmtId="2" fontId="17" fillId="2" borderId="8" xfId="0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 applyProtection="1">
      <alignment horizontal="center" vertical="center"/>
    </xf>
    <xf numFmtId="2" fontId="17" fillId="2" borderId="11" xfId="1" applyNumberFormat="1" applyFont="1" applyFill="1" applyBorder="1" applyAlignment="1" applyProtection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2" fontId="6" fillId="0" borderId="11" xfId="1" applyNumberFormat="1" applyFont="1" applyFill="1" applyBorder="1" applyAlignment="1" applyProtection="1">
      <alignment horizontal="center" vertical="center" wrapText="1"/>
    </xf>
    <xf numFmtId="2" fontId="6" fillId="0" borderId="8" xfId="1" applyNumberFormat="1" applyFont="1" applyFill="1" applyBorder="1" applyAlignment="1" applyProtection="1">
      <alignment horizontal="center" vertical="center" wrapText="1"/>
    </xf>
    <xf numFmtId="2" fontId="17" fillId="0" borderId="2" xfId="1" applyNumberFormat="1" applyFont="1" applyFill="1" applyBorder="1" applyAlignment="1" applyProtection="1">
      <alignment horizontal="center" vertical="center"/>
    </xf>
    <xf numFmtId="2" fontId="17" fillId="0" borderId="11" xfId="1" applyNumberFormat="1" applyFont="1" applyFill="1" applyBorder="1" applyAlignment="1" applyProtection="1">
      <alignment horizontal="center" vertical="center"/>
    </xf>
    <xf numFmtId="2" fontId="17" fillId="0" borderId="8" xfId="1" applyNumberFormat="1" applyFont="1" applyFill="1" applyBorder="1" applyAlignment="1" applyProtection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/>
    </xf>
    <xf numFmtId="2" fontId="6" fillId="0" borderId="11" xfId="1" applyNumberFormat="1" applyFont="1" applyFill="1" applyBorder="1" applyAlignment="1" applyProtection="1">
      <alignment horizontal="center" vertical="center"/>
    </xf>
    <xf numFmtId="2" fontId="6" fillId="0" borderId="8" xfId="1" applyNumberFormat="1" applyFont="1" applyFill="1" applyBorder="1" applyAlignment="1" applyProtection="1">
      <alignment horizontal="center" vertical="center"/>
    </xf>
    <xf numFmtId="2" fontId="39" fillId="0" borderId="5" xfId="0" applyNumberFormat="1" applyFont="1" applyBorder="1" applyAlignment="1">
      <alignment horizontal="center"/>
    </xf>
    <xf numFmtId="2" fontId="39" fillId="0" borderId="9" xfId="0" applyNumberFormat="1" applyFont="1" applyBorder="1" applyAlignment="1">
      <alignment horizontal="center"/>
    </xf>
    <xf numFmtId="2" fontId="39" fillId="0" borderId="10" xfId="0" applyNumberFormat="1" applyFont="1" applyBorder="1" applyAlignment="1">
      <alignment horizontal="center"/>
    </xf>
    <xf numFmtId="0" fontId="8" fillId="0" borderId="5" xfId="1" applyNumberFormat="1" applyFont="1" applyFill="1" applyBorder="1" applyAlignment="1" applyProtection="1">
      <alignment horizontal="center" vertical="top" wrapText="1"/>
    </xf>
    <xf numFmtId="0" fontId="8" fillId="0" borderId="9" xfId="1" applyNumberFormat="1" applyFont="1" applyFill="1" applyBorder="1" applyAlignment="1" applyProtection="1">
      <alignment horizontal="center" vertical="top" wrapText="1"/>
    </xf>
    <xf numFmtId="0" fontId="8" fillId="0" borderId="10" xfId="1" applyNumberFormat="1" applyFont="1" applyFill="1" applyBorder="1" applyAlignment="1" applyProtection="1">
      <alignment horizontal="center" vertical="top" wrapText="1"/>
    </xf>
    <xf numFmtId="0" fontId="28" fillId="0" borderId="3" xfId="1" applyNumberFormat="1" applyFont="1" applyFill="1" applyBorder="1" applyAlignment="1" applyProtection="1">
      <alignment horizontal="center" vertical="top" wrapText="1"/>
    </xf>
    <xf numFmtId="0" fontId="28" fillId="0" borderId="15" xfId="1" applyNumberFormat="1" applyFont="1" applyFill="1" applyBorder="1" applyAlignment="1" applyProtection="1">
      <alignment horizontal="center" vertical="top" wrapText="1"/>
    </xf>
    <xf numFmtId="0" fontId="28" fillId="0" borderId="16" xfId="1" applyNumberFormat="1" applyFont="1" applyFill="1" applyBorder="1" applyAlignment="1" applyProtection="1">
      <alignment horizontal="center" vertical="top" wrapText="1"/>
    </xf>
    <xf numFmtId="2" fontId="35" fillId="0" borderId="9" xfId="0" applyNumberFormat="1" applyFont="1" applyBorder="1" applyAlignment="1">
      <alignment horizontal="center"/>
    </xf>
    <xf numFmtId="2" fontId="35" fillId="0" borderId="10" xfId="0" applyNumberFormat="1" applyFont="1" applyBorder="1" applyAlignment="1">
      <alignment horizontal="center"/>
    </xf>
    <xf numFmtId="0" fontId="41" fillId="2" borderId="5" xfId="0" applyFont="1" applyFill="1" applyBorder="1" applyAlignment="1">
      <alignment horizontal="center"/>
    </xf>
    <xf numFmtId="0" fontId="41" fillId="2" borderId="9" xfId="0" applyFont="1" applyFill="1" applyBorder="1" applyAlignment="1">
      <alignment horizontal="center"/>
    </xf>
    <xf numFmtId="0" fontId="41" fillId="2" borderId="10" xfId="0" applyFont="1" applyFill="1" applyBorder="1" applyAlignment="1">
      <alignment horizontal="center"/>
    </xf>
    <xf numFmtId="2" fontId="36" fillId="0" borderId="5" xfId="0" applyNumberFormat="1" applyFont="1" applyBorder="1" applyAlignment="1">
      <alignment horizontal="center" vertical="center"/>
    </xf>
    <xf numFmtId="2" fontId="36" fillId="0" borderId="9" xfId="0" applyNumberFormat="1" applyFont="1" applyBorder="1" applyAlignment="1">
      <alignment horizontal="center" vertical="center"/>
    </xf>
    <xf numFmtId="2" fontId="36" fillId="0" borderId="10" xfId="0" applyNumberFormat="1" applyFont="1" applyBorder="1" applyAlignment="1">
      <alignment horizontal="center" vertical="center"/>
    </xf>
    <xf numFmtId="2" fontId="28" fillId="0" borderId="5" xfId="0" applyNumberFormat="1" applyFont="1" applyBorder="1" applyAlignment="1">
      <alignment horizontal="center" vertical="center"/>
    </xf>
    <xf numFmtId="2" fontId="28" fillId="0" borderId="9" xfId="0" applyNumberFormat="1" applyFont="1" applyBorder="1" applyAlignment="1">
      <alignment horizontal="center" vertical="center"/>
    </xf>
    <xf numFmtId="2" fontId="28" fillId="0" borderId="10" xfId="0" applyNumberFormat="1" applyFont="1" applyBorder="1" applyAlignment="1">
      <alignment horizontal="center" vertical="center"/>
    </xf>
    <xf numFmtId="2" fontId="31" fillId="3" borderId="9" xfId="0" applyNumberFormat="1" applyFont="1" applyFill="1" applyBorder="1" applyAlignment="1">
      <alignment horizontal="center"/>
    </xf>
    <xf numFmtId="2" fontId="31" fillId="3" borderId="10" xfId="0" applyNumberFormat="1" applyFont="1" applyFill="1" applyBorder="1" applyAlignment="1">
      <alignment horizontal="center"/>
    </xf>
    <xf numFmtId="2" fontId="43" fillId="0" borderId="5" xfId="0" applyNumberFormat="1" applyFont="1" applyBorder="1" applyAlignment="1">
      <alignment horizontal="center"/>
    </xf>
    <xf numFmtId="2" fontId="40" fillId="0" borderId="9" xfId="0" applyNumberFormat="1" applyFont="1" applyBorder="1" applyAlignment="1">
      <alignment horizontal="center"/>
    </xf>
    <xf numFmtId="2" fontId="40" fillId="0" borderId="10" xfId="0" applyNumberFormat="1" applyFont="1" applyBorder="1" applyAlignment="1">
      <alignment horizontal="center"/>
    </xf>
    <xf numFmtId="0" fontId="17" fillId="0" borderId="0" xfId="1" applyNumberFormat="1" applyFont="1" applyFill="1" applyBorder="1" applyAlignment="1" applyProtection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0" fontId="22" fillId="0" borderId="8" xfId="0" applyFont="1" applyBorder="1"/>
    <xf numFmtId="0" fontId="7" fillId="3" borderId="1" xfId="1" applyNumberFormat="1" applyFont="1" applyFill="1" applyBorder="1" applyAlignment="1" applyProtection="1">
      <alignment horizontal="center" vertical="center"/>
    </xf>
    <xf numFmtId="0" fontId="6" fillId="3" borderId="1" xfId="1" applyNumberFormat="1" applyFont="1" applyFill="1" applyBorder="1" applyAlignment="1" applyProtection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6" fillId="3" borderId="2" xfId="1" applyNumberFormat="1" applyFont="1" applyFill="1" applyBorder="1" applyAlignment="1" applyProtection="1">
      <alignment horizontal="center" vertical="center"/>
    </xf>
    <xf numFmtId="0" fontId="6" fillId="3" borderId="11" xfId="1" applyNumberFormat="1" applyFont="1" applyFill="1" applyBorder="1" applyAlignment="1" applyProtection="1">
      <alignment horizontal="center" vertical="center"/>
    </xf>
    <xf numFmtId="0" fontId="6" fillId="3" borderId="8" xfId="1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2" fontId="28" fillId="3" borderId="5" xfId="0" applyNumberFormat="1" applyFont="1" applyFill="1" applyBorder="1" applyAlignment="1">
      <alignment horizontal="center"/>
    </xf>
    <xf numFmtId="2" fontId="16" fillId="3" borderId="9" xfId="0" applyNumberFormat="1" applyFont="1" applyFill="1" applyBorder="1" applyAlignment="1">
      <alignment horizontal="center"/>
    </xf>
    <xf numFmtId="2" fontId="16" fillId="3" borderId="10" xfId="0" applyNumberFormat="1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6" fillId="3" borderId="5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17" fillId="3" borderId="2" xfId="1" applyNumberFormat="1" applyFont="1" applyFill="1" applyBorder="1" applyAlignment="1" applyProtection="1">
      <alignment horizontal="center" vertical="center"/>
    </xf>
    <xf numFmtId="0" fontId="17" fillId="3" borderId="11" xfId="1" applyNumberFormat="1" applyFont="1" applyFill="1" applyBorder="1" applyAlignment="1" applyProtection="1">
      <alignment horizontal="center" vertical="center"/>
    </xf>
    <xf numFmtId="0" fontId="17" fillId="3" borderId="8" xfId="1" applyNumberFormat="1" applyFont="1" applyFill="1" applyBorder="1" applyAlignment="1" applyProtection="1">
      <alignment horizontal="center" vertical="center"/>
    </xf>
    <xf numFmtId="0" fontId="14" fillId="3" borderId="2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30" fillId="3" borderId="2" xfId="1" applyNumberFormat="1" applyFont="1" applyFill="1" applyBorder="1" applyAlignment="1" applyProtection="1">
      <alignment horizontal="center" vertical="top" wrapText="1"/>
    </xf>
    <xf numFmtId="0" fontId="30" fillId="3" borderId="11" xfId="1" applyNumberFormat="1" applyFont="1" applyFill="1" applyBorder="1" applyAlignment="1" applyProtection="1">
      <alignment horizontal="center" vertical="top" wrapText="1"/>
    </xf>
    <xf numFmtId="0" fontId="30" fillId="3" borderId="8" xfId="1" applyNumberFormat="1" applyFont="1" applyFill="1" applyBorder="1" applyAlignment="1" applyProtection="1">
      <alignment horizontal="center" vertical="top" wrapText="1"/>
    </xf>
    <xf numFmtId="0" fontId="21" fillId="3" borderId="2" xfId="1" applyNumberFormat="1" applyFont="1" applyFill="1" applyBorder="1" applyAlignment="1" applyProtection="1">
      <alignment horizontal="center" vertical="top"/>
    </xf>
    <xf numFmtId="0" fontId="21" fillId="3" borderId="11" xfId="1" applyNumberFormat="1" applyFont="1" applyFill="1" applyBorder="1" applyAlignment="1" applyProtection="1">
      <alignment horizontal="center" vertical="top"/>
    </xf>
    <xf numFmtId="0" fontId="21" fillId="3" borderId="8" xfId="1" applyNumberFormat="1" applyFont="1" applyFill="1" applyBorder="1" applyAlignment="1" applyProtection="1">
      <alignment horizontal="center" vertical="top"/>
    </xf>
    <xf numFmtId="0" fontId="1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4" fillId="0" borderId="0" xfId="0" applyFont="1" applyBorder="1" applyAlignment="1">
      <alignment horizontal="right"/>
    </xf>
    <xf numFmtId="2" fontId="14" fillId="2" borderId="1" xfId="1" applyNumberFormat="1" applyFont="1" applyFill="1" applyBorder="1" applyAlignment="1" applyProtection="1">
      <alignment vertical="center" wrapText="1"/>
    </xf>
    <xf numFmtId="0" fontId="7" fillId="2" borderId="1" xfId="1" applyNumberFormat="1" applyFont="1" applyFill="1" applyBorder="1" applyAlignment="1" applyProtection="1">
      <alignment vertical="center" wrapText="1"/>
    </xf>
    <xf numFmtId="0" fontId="44" fillId="0" borderId="1" xfId="0" applyFont="1" applyBorder="1" applyAlignment="1">
      <alignment vertical="center"/>
    </xf>
    <xf numFmtId="0" fontId="45" fillId="0" borderId="1" xfId="0" applyFont="1" applyBorder="1" applyAlignment="1">
      <alignment vertical="center"/>
    </xf>
    <xf numFmtId="2" fontId="45" fillId="0" borderId="1" xfId="0" applyNumberFormat="1" applyFont="1" applyBorder="1" applyAlignment="1">
      <alignment vertical="center"/>
    </xf>
    <xf numFmtId="0" fontId="44" fillId="0" borderId="1" xfId="0" applyFont="1" applyBorder="1"/>
    <xf numFmtId="2" fontId="44" fillId="0" borderId="1" xfId="0" applyNumberFormat="1" applyFont="1" applyBorder="1"/>
    <xf numFmtId="0" fontId="46" fillId="0" borderId="1" xfId="0" applyFont="1" applyBorder="1"/>
    <xf numFmtId="2" fontId="46" fillId="0" borderId="1" xfId="0" applyNumberFormat="1" applyFont="1" applyBorder="1"/>
    <xf numFmtId="0" fontId="46" fillId="0" borderId="0" xfId="0" applyFont="1"/>
    <xf numFmtId="2" fontId="49" fillId="0" borderId="1" xfId="0" applyNumberFormat="1" applyFont="1" applyBorder="1" applyAlignment="1">
      <alignment vertical="center"/>
    </xf>
    <xf numFmtId="164" fontId="46" fillId="0" borderId="1" xfId="0" applyNumberFormat="1" applyFont="1" applyBorder="1"/>
    <xf numFmtId="2" fontId="46" fillId="0" borderId="1" xfId="0" applyNumberFormat="1" applyFont="1" applyBorder="1" applyAlignment="1">
      <alignment vertical="center"/>
    </xf>
    <xf numFmtId="164" fontId="46" fillId="0" borderId="1" xfId="0" applyNumberFormat="1" applyFont="1" applyBorder="1" applyAlignment="1">
      <alignment vertical="center"/>
    </xf>
    <xf numFmtId="2" fontId="50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vertical="center"/>
    </xf>
    <xf numFmtId="0" fontId="46" fillId="0" borderId="0" xfId="0" applyFont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4" fillId="0" borderId="0" xfId="0" applyFont="1"/>
    <xf numFmtId="0" fontId="44" fillId="3" borderId="1" xfId="0" applyFont="1" applyFill="1" applyBorder="1"/>
    <xf numFmtId="2" fontId="44" fillId="3" borderId="1" xfId="0" applyNumberFormat="1" applyFont="1" applyFill="1" applyBorder="1"/>
    <xf numFmtId="2" fontId="44" fillId="0" borderId="1" xfId="0" applyNumberFormat="1" applyFont="1" applyBorder="1" applyAlignment="1">
      <alignment horizontal="right"/>
    </xf>
    <xf numFmtId="2" fontId="46" fillId="0" borderId="1" xfId="0" applyNumberFormat="1" applyFont="1" applyBorder="1" applyAlignment="1">
      <alignment horizontal="right"/>
    </xf>
    <xf numFmtId="0" fontId="44" fillId="0" borderId="1" xfId="0" applyFont="1" applyBorder="1" applyAlignment="1"/>
    <xf numFmtId="2" fontId="44" fillId="0" borderId="1" xfId="0" applyNumberFormat="1" applyFont="1" applyBorder="1" applyAlignment="1"/>
    <xf numFmtId="2" fontId="4" fillId="0" borderId="1" xfId="0" applyNumberFormat="1" applyFont="1" applyBorder="1" applyAlignment="1"/>
    <xf numFmtId="2" fontId="44" fillId="0" borderId="1" xfId="0" applyNumberFormat="1" applyFont="1" applyBorder="1" applyAlignment="1">
      <alignment vertical="center"/>
    </xf>
    <xf numFmtId="164" fontId="44" fillId="0" borderId="1" xfId="0" applyNumberFormat="1" applyFont="1" applyBorder="1" applyAlignment="1">
      <alignment vertical="center"/>
    </xf>
    <xf numFmtId="164" fontId="45" fillId="0" borderId="1" xfId="0" applyNumberFormat="1" applyFont="1" applyBorder="1" applyAlignment="1">
      <alignment vertical="center"/>
    </xf>
    <xf numFmtId="0" fontId="45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2"/>
  <sheetViews>
    <sheetView tabSelected="1" topLeftCell="A63" zoomScale="85" zoomScaleNormal="85" zoomScalePageLayoutView="62" workbookViewId="0">
      <selection activeCell="C84" sqref="C84:P86"/>
    </sheetView>
  </sheetViews>
  <sheetFormatPr defaultRowHeight="15" x14ac:dyDescent="0.25"/>
  <cols>
    <col min="1" max="1" width="3.42578125" customWidth="1"/>
    <col min="2" max="2" width="25.140625" customWidth="1"/>
    <col min="3" max="3" width="10.28515625" customWidth="1"/>
    <col min="6" max="6" width="8.42578125" customWidth="1"/>
    <col min="7" max="7" width="8.85546875" customWidth="1"/>
    <col min="8" max="8" width="11.5703125" customWidth="1"/>
    <col min="9" max="9" width="10.7109375" bestFit="1" customWidth="1"/>
    <col min="10" max="11" width="9.140625" customWidth="1"/>
    <col min="14" max="15" width="9.140625" customWidth="1"/>
    <col min="16" max="16" width="7.42578125" customWidth="1"/>
    <col min="17" max="17" width="9.5703125" customWidth="1"/>
    <col min="18" max="18" width="9.85546875" customWidth="1"/>
  </cols>
  <sheetData>
    <row r="1" spans="1:18" ht="33.75" customHeight="1" x14ac:dyDescent="0.25">
      <c r="A1" s="233" t="s">
        <v>90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</row>
    <row r="2" spans="1:18" ht="15.75" customHeight="1" x14ac:dyDescent="0.3">
      <c r="A2" s="28"/>
      <c r="B2" s="39"/>
      <c r="C2" s="39"/>
      <c r="D2" s="39"/>
      <c r="E2" s="39"/>
      <c r="F2" s="39"/>
      <c r="G2" s="39"/>
      <c r="H2" s="39"/>
      <c r="I2" s="39"/>
      <c r="J2" s="40"/>
      <c r="K2" s="41"/>
      <c r="L2" s="40"/>
      <c r="M2" s="40"/>
      <c r="N2" s="40"/>
      <c r="O2" s="40"/>
      <c r="P2" s="40"/>
      <c r="Q2" s="40"/>
      <c r="R2" s="38"/>
    </row>
    <row r="3" spans="1:18" ht="18.75" x14ac:dyDescent="0.25">
      <c r="A3" s="195"/>
      <c r="B3" s="197" t="s">
        <v>0</v>
      </c>
      <c r="C3" s="199" t="s">
        <v>94</v>
      </c>
      <c r="D3" s="192" t="s">
        <v>20</v>
      </c>
      <c r="E3" s="192" t="s">
        <v>19</v>
      </c>
      <c r="F3" s="202" t="s">
        <v>1</v>
      </c>
      <c r="G3" s="202" t="s">
        <v>2</v>
      </c>
      <c r="H3" s="205" t="s">
        <v>3</v>
      </c>
      <c r="I3" s="202" t="s">
        <v>4</v>
      </c>
      <c r="J3" s="194" t="s">
        <v>5</v>
      </c>
      <c r="K3" s="194"/>
      <c r="L3" s="194"/>
      <c r="M3" s="194" t="s">
        <v>6</v>
      </c>
      <c r="N3" s="194"/>
      <c r="O3" s="194"/>
      <c r="P3" s="194"/>
      <c r="Q3" s="202" t="s">
        <v>65</v>
      </c>
      <c r="R3" s="234" t="s">
        <v>114</v>
      </c>
    </row>
    <row r="4" spans="1:18" ht="27.75" customHeight="1" x14ac:dyDescent="0.25">
      <c r="A4" s="196"/>
      <c r="B4" s="197"/>
      <c r="C4" s="200"/>
      <c r="D4" s="198"/>
      <c r="E4" s="198"/>
      <c r="F4" s="203"/>
      <c r="G4" s="203"/>
      <c r="H4" s="206"/>
      <c r="I4" s="203"/>
      <c r="J4" s="202" t="s">
        <v>7</v>
      </c>
      <c r="K4" s="192" t="s">
        <v>8</v>
      </c>
      <c r="L4" s="202" t="s">
        <v>9</v>
      </c>
      <c r="M4" s="202" t="s">
        <v>10</v>
      </c>
      <c r="N4" s="202" t="s">
        <v>11</v>
      </c>
      <c r="O4" s="202" t="s">
        <v>12</v>
      </c>
      <c r="P4" s="202" t="s">
        <v>13</v>
      </c>
      <c r="Q4" s="203"/>
      <c r="R4" s="235"/>
    </row>
    <row r="5" spans="1:18" ht="25.5" customHeight="1" x14ac:dyDescent="0.3">
      <c r="A5" s="54"/>
      <c r="B5" s="55" t="s">
        <v>14</v>
      </c>
      <c r="C5" s="201"/>
      <c r="D5" s="193"/>
      <c r="E5" s="193"/>
      <c r="F5" s="204"/>
      <c r="G5" s="204"/>
      <c r="H5" s="207"/>
      <c r="I5" s="204"/>
      <c r="J5" s="204"/>
      <c r="K5" s="193"/>
      <c r="L5" s="204"/>
      <c r="M5" s="204"/>
      <c r="N5" s="204"/>
      <c r="O5" s="204"/>
      <c r="P5" s="204"/>
      <c r="Q5" s="204"/>
      <c r="R5" s="236"/>
    </row>
    <row r="6" spans="1:18" s="61" customFormat="1" ht="26.25" customHeight="1" x14ac:dyDescent="0.35">
      <c r="A6" s="60"/>
      <c r="B6" s="119" t="s">
        <v>117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</row>
    <row r="7" spans="1:18" s="61" customFormat="1" ht="22.5" customHeight="1" x14ac:dyDescent="0.3">
      <c r="A7" s="60"/>
      <c r="B7" s="301" t="s">
        <v>78</v>
      </c>
      <c r="C7" s="302">
        <v>50</v>
      </c>
      <c r="D7" s="302">
        <v>0</v>
      </c>
      <c r="E7" s="302">
        <v>50</v>
      </c>
      <c r="F7" s="302">
        <f>E7*12.6%</f>
        <v>6.3</v>
      </c>
      <c r="G7" s="302">
        <f>E7*3.3%</f>
        <v>1.6500000000000001</v>
      </c>
      <c r="H7" s="302">
        <f>E7*62.1%</f>
        <v>31.05</v>
      </c>
      <c r="I7" s="302">
        <f>E7*335%</f>
        <v>167.5</v>
      </c>
      <c r="J7" s="302">
        <f>E7*0.43%</f>
        <v>0.215</v>
      </c>
      <c r="K7" s="302">
        <v>0</v>
      </c>
      <c r="L7" s="302">
        <v>0</v>
      </c>
      <c r="M7" s="302">
        <f>E7*20%</f>
        <v>10</v>
      </c>
      <c r="N7" s="302">
        <f>E7*298%</f>
        <v>149</v>
      </c>
      <c r="O7" s="302">
        <f>E7*200%</f>
        <v>100</v>
      </c>
      <c r="P7" s="302">
        <f>E7*6.7%</f>
        <v>3.35</v>
      </c>
      <c r="Q7" s="302">
        <v>65</v>
      </c>
      <c r="R7" s="303">
        <f>C7/1000*65</f>
        <v>3.25</v>
      </c>
    </row>
    <row r="8" spans="1:18" s="61" customFormat="1" ht="22.5" customHeight="1" x14ac:dyDescent="0.3">
      <c r="A8" s="63"/>
      <c r="B8" s="301" t="s">
        <v>22</v>
      </c>
      <c r="C8" s="302">
        <v>10</v>
      </c>
      <c r="D8" s="302">
        <v>0</v>
      </c>
      <c r="E8" s="302">
        <f>C8-D8</f>
        <v>10</v>
      </c>
      <c r="F8" s="302">
        <f>E8*0.5%</f>
        <v>0.05</v>
      </c>
      <c r="G8" s="302">
        <f>E8*82.5%</f>
        <v>8.25</v>
      </c>
      <c r="H8" s="302">
        <f>E8*0.8%</f>
        <v>0.08</v>
      </c>
      <c r="I8" s="302">
        <f>E8*748%</f>
        <v>74.800000000000011</v>
      </c>
      <c r="J8" s="302">
        <v>0</v>
      </c>
      <c r="K8" s="302">
        <v>0</v>
      </c>
      <c r="L8" s="302">
        <f>E8*0.59%</f>
        <v>5.8999999999999997E-2</v>
      </c>
      <c r="M8" s="302">
        <f>E8*12%</f>
        <v>1.2</v>
      </c>
      <c r="N8" s="302">
        <f>E8*19%</f>
        <v>1.9</v>
      </c>
      <c r="O8" s="302">
        <f>E8*0.4%</f>
        <v>0.04</v>
      </c>
      <c r="P8" s="302">
        <f>E8*0.2%</f>
        <v>0.02</v>
      </c>
      <c r="Q8" s="302">
        <v>480</v>
      </c>
      <c r="R8" s="303">
        <f>C8/1000*480</f>
        <v>4.8</v>
      </c>
    </row>
    <row r="9" spans="1:18" s="68" customFormat="1" ht="22.5" customHeight="1" x14ac:dyDescent="0.25">
      <c r="A9" s="69"/>
      <c r="B9" s="70" t="s">
        <v>68</v>
      </c>
      <c r="C9" s="66">
        <f>C8+C7</f>
        <v>60</v>
      </c>
      <c r="D9" s="66">
        <f>SUM(D7:D8)</f>
        <v>0</v>
      </c>
      <c r="E9" s="66">
        <v>150</v>
      </c>
      <c r="F9" s="66">
        <f t="shared" ref="F9:P9" si="0">SUM(F7:F8)</f>
        <v>6.35</v>
      </c>
      <c r="G9" s="66">
        <f t="shared" si="0"/>
        <v>9.9</v>
      </c>
      <c r="H9" s="66">
        <f t="shared" si="0"/>
        <v>31.13</v>
      </c>
      <c r="I9" s="66">
        <f t="shared" si="0"/>
        <v>242.3</v>
      </c>
      <c r="J9" s="66">
        <f t="shared" si="0"/>
        <v>0.215</v>
      </c>
      <c r="K9" s="66">
        <f t="shared" si="0"/>
        <v>0</v>
      </c>
      <c r="L9" s="66">
        <f t="shared" si="0"/>
        <v>5.8999999999999997E-2</v>
      </c>
      <c r="M9" s="66">
        <f t="shared" si="0"/>
        <v>11.2</v>
      </c>
      <c r="N9" s="66">
        <f t="shared" si="0"/>
        <v>150.9</v>
      </c>
      <c r="O9" s="66">
        <f t="shared" si="0"/>
        <v>100.04</v>
      </c>
      <c r="P9" s="66">
        <f t="shared" si="0"/>
        <v>3.37</v>
      </c>
      <c r="Q9" s="66"/>
      <c r="R9" s="66">
        <f>SUM(R7:R8)</f>
        <v>8.0500000000000007</v>
      </c>
    </row>
    <row r="10" spans="1:18" ht="20.25" x14ac:dyDescent="0.3">
      <c r="A10" s="33"/>
      <c r="B10" s="211" t="s">
        <v>131</v>
      </c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3"/>
    </row>
    <row r="11" spans="1:18" s="95" customFormat="1" ht="22.5" customHeight="1" x14ac:dyDescent="0.25">
      <c r="A11" s="93"/>
      <c r="B11" s="293" t="s">
        <v>122</v>
      </c>
      <c r="C11" s="290">
        <v>60</v>
      </c>
      <c r="D11" s="290">
        <f>C11*26.4%</f>
        <v>15.84</v>
      </c>
      <c r="E11" s="290">
        <f>SUM(C11-D11)</f>
        <v>44.16</v>
      </c>
      <c r="F11" s="290">
        <f>E11*18.6%</f>
        <v>8.2137600000000006</v>
      </c>
      <c r="G11" s="290">
        <f>E11*16%</f>
        <v>7.0655999999999999</v>
      </c>
      <c r="H11" s="290">
        <v>0</v>
      </c>
      <c r="I11" s="290">
        <f>E11*218%</f>
        <v>96.268799999999999</v>
      </c>
      <c r="J11" s="290">
        <f>E11*0.06%</f>
        <v>2.6495999999999995E-2</v>
      </c>
      <c r="K11" s="290">
        <v>0</v>
      </c>
      <c r="L11" s="290">
        <v>0</v>
      </c>
      <c r="M11" s="290">
        <f>E11*9%</f>
        <v>3.9743999999999997</v>
      </c>
      <c r="N11" s="290">
        <f>E11*188%</f>
        <v>83.020799999999994</v>
      </c>
      <c r="O11" s="290">
        <f>E11*22%</f>
        <v>9.7151999999999994</v>
      </c>
      <c r="P11" s="290">
        <f>E11*2.7%</f>
        <v>1.19232</v>
      </c>
      <c r="Q11" s="290">
        <v>490</v>
      </c>
      <c r="R11" s="290">
        <f>C11/1000*490</f>
        <v>29.4</v>
      </c>
    </row>
    <row r="12" spans="1:18" s="64" customFormat="1" ht="18.75" x14ac:dyDescent="0.25">
      <c r="A12" s="93"/>
      <c r="B12" s="293" t="s">
        <v>15</v>
      </c>
      <c r="C12" s="290">
        <v>24</v>
      </c>
      <c r="D12" s="290">
        <v>5</v>
      </c>
      <c r="E12" s="290">
        <f>C12-D12</f>
        <v>19</v>
      </c>
      <c r="F12" s="290">
        <f>E12*1.3%</f>
        <v>0.24700000000000003</v>
      </c>
      <c r="G12" s="290">
        <v>0</v>
      </c>
      <c r="H12" s="290">
        <f>E12*7.2%</f>
        <v>1.3680000000000001</v>
      </c>
      <c r="I12" s="290">
        <f>E12*30%</f>
        <v>5.7</v>
      </c>
      <c r="J12" s="290">
        <f>E12*0.06%</f>
        <v>1.1399999999999999E-2</v>
      </c>
      <c r="K12" s="290">
        <f>E12*5%</f>
        <v>0.95000000000000007</v>
      </c>
      <c r="L12" s="290">
        <v>0</v>
      </c>
      <c r="M12" s="290">
        <f>E12*51%</f>
        <v>9.69</v>
      </c>
      <c r="N12" s="290">
        <f>E12*55%</f>
        <v>10.450000000000001</v>
      </c>
      <c r="O12" s="290">
        <f>E12*38%</f>
        <v>7.22</v>
      </c>
      <c r="P12" s="290">
        <f>E12*0.7%</f>
        <v>0.13299999999999998</v>
      </c>
      <c r="Q12" s="290">
        <v>60</v>
      </c>
      <c r="R12" s="290">
        <f>C12/1000*60</f>
        <v>1.44</v>
      </c>
    </row>
    <row r="13" spans="1:18" s="64" customFormat="1" ht="18.75" x14ac:dyDescent="0.25">
      <c r="A13" s="93"/>
      <c r="B13" s="293" t="s">
        <v>72</v>
      </c>
      <c r="C13" s="290">
        <v>23</v>
      </c>
      <c r="D13" s="290">
        <f>C13*0.16</f>
        <v>3.68</v>
      </c>
      <c r="E13" s="290">
        <f>C13-D13</f>
        <v>19.32</v>
      </c>
      <c r="F13" s="290">
        <f>E13*1.4%</f>
        <v>0.27048</v>
      </c>
      <c r="G13" s="294">
        <v>0</v>
      </c>
      <c r="H13" s="290">
        <f>E13*9.1%</f>
        <v>1.7581199999999999</v>
      </c>
      <c r="I13" s="290">
        <f>E13*41%</f>
        <v>7.9211999999999998</v>
      </c>
      <c r="J13" s="290">
        <f>E13*0.05%</f>
        <v>9.6600000000000002E-3</v>
      </c>
      <c r="K13" s="290">
        <f>E13*10%</f>
        <v>1.9320000000000002</v>
      </c>
      <c r="L13" s="290">
        <v>0</v>
      </c>
      <c r="M13" s="290">
        <f>E13*31%</f>
        <v>5.9892000000000003</v>
      </c>
      <c r="N13" s="290">
        <f>E13*58%</f>
        <v>11.205599999999999</v>
      </c>
      <c r="O13" s="290">
        <f>E13*14%</f>
        <v>2.7048000000000001</v>
      </c>
      <c r="P13" s="290">
        <f>E13*0.8%</f>
        <v>0.15456</v>
      </c>
      <c r="Q13" s="290">
        <v>40</v>
      </c>
      <c r="R13" s="290">
        <f>C13/1000*40</f>
        <v>0.91999999999999993</v>
      </c>
    </row>
    <row r="14" spans="1:18" s="64" customFormat="1" ht="18.75" x14ac:dyDescent="0.25">
      <c r="A14" s="96"/>
      <c r="B14" s="295" t="s">
        <v>80</v>
      </c>
      <c r="C14" s="295">
        <v>6</v>
      </c>
      <c r="D14" s="295">
        <v>0</v>
      </c>
      <c r="E14" s="295">
        <f>C14-D14</f>
        <v>6</v>
      </c>
      <c r="F14" s="295">
        <f>E14*7.9%</f>
        <v>0.47399999999999998</v>
      </c>
      <c r="G14" s="295">
        <f>E14*1%</f>
        <v>0.06</v>
      </c>
      <c r="H14" s="295">
        <f>E14*48.1%</f>
        <v>2.8860000000000001</v>
      </c>
      <c r="I14" s="295">
        <f>E14*239%</f>
        <v>14.34</v>
      </c>
      <c r="J14" s="295">
        <f>E14*0.16%</f>
        <v>9.6000000000000009E-3</v>
      </c>
      <c r="K14" s="295">
        <v>0</v>
      </c>
      <c r="L14" s="295">
        <v>0</v>
      </c>
      <c r="M14" s="295">
        <f>E14*23%</f>
        <v>1.3800000000000001</v>
      </c>
      <c r="N14" s="295">
        <f>E14*87%</f>
        <v>5.22</v>
      </c>
      <c r="O14" s="295">
        <f>E14*33%</f>
        <v>1.98</v>
      </c>
      <c r="P14" s="295">
        <f>E14*2%</f>
        <v>0.12</v>
      </c>
      <c r="Q14" s="295">
        <v>30</v>
      </c>
      <c r="R14" s="295">
        <f>C14/1000*30</f>
        <v>0.18</v>
      </c>
    </row>
    <row r="15" spans="1:18" s="64" customFormat="1" x14ac:dyDescent="0.25">
      <c r="A15" s="101"/>
      <c r="B15" s="288" t="s">
        <v>25</v>
      </c>
      <c r="C15" s="288">
        <v>3</v>
      </c>
      <c r="D15" s="288">
        <v>0</v>
      </c>
      <c r="E15" s="288">
        <f>SUM(C15:D15)</f>
        <v>3</v>
      </c>
      <c r="F15" s="288">
        <f>E15*1%</f>
        <v>0.03</v>
      </c>
      <c r="G15" s="288">
        <v>0</v>
      </c>
      <c r="H15" s="288">
        <f>E15*3.5%</f>
        <v>0.10500000000000001</v>
      </c>
      <c r="I15" s="288">
        <f>E15*19%</f>
        <v>0.57000000000000006</v>
      </c>
      <c r="J15" s="288">
        <f>E15*0.03%</f>
        <v>8.9999999999999998E-4</v>
      </c>
      <c r="K15" s="288">
        <f>E15*10%</f>
        <v>0.30000000000000004</v>
      </c>
      <c r="L15" s="288">
        <v>0</v>
      </c>
      <c r="M15" s="288">
        <f>C15*7%</f>
        <v>0.21000000000000002</v>
      </c>
      <c r="N15" s="288">
        <f>E15*32%</f>
        <v>0.96</v>
      </c>
      <c r="O15" s="288">
        <f>E15*12%</f>
        <v>0.36</v>
      </c>
      <c r="P15" s="288">
        <f>E15*0.7%</f>
        <v>2.0999999999999998E-2</v>
      </c>
      <c r="Q15" s="288">
        <v>150</v>
      </c>
      <c r="R15" s="288">
        <f>C15/1000*150</f>
        <v>0.45</v>
      </c>
    </row>
    <row r="16" spans="1:18" s="64" customFormat="1" ht="18.75" x14ac:dyDescent="0.25">
      <c r="A16" s="93"/>
      <c r="B16" s="293" t="s">
        <v>24</v>
      </c>
      <c r="C16" s="290">
        <v>5</v>
      </c>
      <c r="D16" s="290">
        <v>0</v>
      </c>
      <c r="E16" s="290">
        <f>SUM(C16:D16)</f>
        <v>5</v>
      </c>
      <c r="F16" s="290">
        <v>0</v>
      </c>
      <c r="G16" s="291">
        <f>E16*0.999</f>
        <v>4.9950000000000001</v>
      </c>
      <c r="H16" s="290">
        <v>0</v>
      </c>
      <c r="I16" s="290">
        <f>E16*8.99%</f>
        <v>0.44950000000000001</v>
      </c>
      <c r="J16" s="290">
        <f>E16*0.06%</f>
        <v>2.9999999999999996E-3</v>
      </c>
      <c r="K16" s="290">
        <v>0</v>
      </c>
      <c r="L16" s="290">
        <v>0</v>
      </c>
      <c r="M16" s="290">
        <v>0</v>
      </c>
      <c r="N16" s="290">
        <v>0</v>
      </c>
      <c r="O16" s="290">
        <v>0</v>
      </c>
      <c r="P16" s="290">
        <v>0</v>
      </c>
      <c r="Q16" s="290">
        <v>150</v>
      </c>
      <c r="R16" s="290">
        <f>C16/1000*150</f>
        <v>0.75</v>
      </c>
    </row>
    <row r="17" spans="1:18" s="68" customFormat="1" ht="18.75" x14ac:dyDescent="0.25">
      <c r="A17" s="65"/>
      <c r="B17" s="56" t="s">
        <v>68</v>
      </c>
      <c r="C17" s="66">
        <f t="shared" ref="C17:P17" si="1">SUM(C11:C16)</f>
        <v>121</v>
      </c>
      <c r="D17" s="66">
        <f t="shared" si="1"/>
        <v>24.52</v>
      </c>
      <c r="E17" s="66">
        <f t="shared" si="1"/>
        <v>96.47999999999999</v>
      </c>
      <c r="F17" s="66">
        <f t="shared" si="1"/>
        <v>9.2352399999999992</v>
      </c>
      <c r="G17" s="66">
        <f t="shared" si="1"/>
        <v>12.1206</v>
      </c>
      <c r="H17" s="66">
        <f t="shared" si="1"/>
        <v>6.1171200000000008</v>
      </c>
      <c r="I17" s="66">
        <f t="shared" si="1"/>
        <v>125.2495</v>
      </c>
      <c r="J17" s="66">
        <f t="shared" si="1"/>
        <v>6.1055999999999999E-2</v>
      </c>
      <c r="K17" s="66">
        <f t="shared" si="1"/>
        <v>3.1820000000000004</v>
      </c>
      <c r="L17" s="66">
        <f t="shared" si="1"/>
        <v>0</v>
      </c>
      <c r="M17" s="66">
        <f t="shared" si="1"/>
        <v>21.243599999999997</v>
      </c>
      <c r="N17" s="66">
        <f t="shared" si="1"/>
        <v>110.85639999999999</v>
      </c>
      <c r="O17" s="66">
        <f t="shared" si="1"/>
        <v>21.979999999999997</v>
      </c>
      <c r="P17" s="66">
        <f t="shared" si="1"/>
        <v>1.6208800000000001</v>
      </c>
      <c r="Q17" s="66"/>
      <c r="R17" s="66">
        <f t="shared" ref="R17" si="2">SUM(R11:R16)</f>
        <v>33.14</v>
      </c>
    </row>
    <row r="18" spans="1:18" ht="18.75" customHeight="1" x14ac:dyDescent="0.25">
      <c r="A18" s="222" t="s">
        <v>118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4"/>
    </row>
    <row r="19" spans="1:18" s="103" customFormat="1" ht="18" customHeight="1" x14ac:dyDescent="0.25">
      <c r="A19" s="102"/>
      <c r="B19" s="43" t="s">
        <v>68</v>
      </c>
      <c r="C19" s="43">
        <v>30</v>
      </c>
      <c r="D19" s="43">
        <v>0</v>
      </c>
      <c r="E19" s="43">
        <v>30</v>
      </c>
      <c r="F19" s="43">
        <f>E19*7.9%</f>
        <v>2.37</v>
      </c>
      <c r="G19" s="43">
        <f>E19*1%</f>
        <v>0.3</v>
      </c>
      <c r="H19" s="43">
        <f>E19*48.1%</f>
        <v>14.430000000000001</v>
      </c>
      <c r="I19" s="43">
        <f>E19*239%</f>
        <v>71.7</v>
      </c>
      <c r="J19" s="43">
        <f>E19*0.16%</f>
        <v>4.8000000000000001E-2</v>
      </c>
      <c r="K19" s="43">
        <v>0</v>
      </c>
      <c r="L19" s="43">
        <v>0</v>
      </c>
      <c r="M19" s="43">
        <f>E19*23%</f>
        <v>6.9</v>
      </c>
      <c r="N19" s="43">
        <f>E19*87%</f>
        <v>26.1</v>
      </c>
      <c r="O19" s="43">
        <f>E19*33%</f>
        <v>9.9</v>
      </c>
      <c r="P19" s="43">
        <f>E19*2%</f>
        <v>0.6</v>
      </c>
      <c r="Q19" s="43">
        <v>50</v>
      </c>
      <c r="R19" s="43">
        <f>C19/1000*50</f>
        <v>1.5</v>
      </c>
    </row>
    <row r="20" spans="1:18" ht="21" x14ac:dyDescent="0.35">
      <c r="A20" s="33"/>
      <c r="B20" s="160" t="s">
        <v>105</v>
      </c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8"/>
    </row>
    <row r="21" spans="1:18" ht="18.75" x14ac:dyDescent="0.3">
      <c r="A21" s="30"/>
      <c r="B21" s="284" t="s">
        <v>51</v>
      </c>
      <c r="C21" s="284">
        <v>1</v>
      </c>
      <c r="D21" s="284">
        <v>0</v>
      </c>
      <c r="E21" s="284">
        <f>C21-D21</f>
        <v>1</v>
      </c>
      <c r="F21" s="284">
        <f>E21*21.74%</f>
        <v>0.21739999999999998</v>
      </c>
      <c r="G21" s="284">
        <f>E21*7.61%</f>
        <v>7.6100000000000001E-2</v>
      </c>
      <c r="H21" s="284">
        <f>E21*2.86%</f>
        <v>2.86E-2</v>
      </c>
      <c r="I21" s="284">
        <f>E21*9.18%</f>
        <v>9.1799999999999993E-2</v>
      </c>
      <c r="J21" s="284">
        <f>E21*4.7%</f>
        <v>4.7E-2</v>
      </c>
      <c r="K21" s="284">
        <f>E21*11%</f>
        <v>0.11</v>
      </c>
      <c r="L21" s="284">
        <f>E21*5.6%</f>
        <v>5.5999999999999994E-2</v>
      </c>
      <c r="M21" s="284">
        <f>E21*50%</f>
        <v>0.5</v>
      </c>
      <c r="N21" s="284">
        <f>E21*10%</f>
        <v>0.1</v>
      </c>
      <c r="O21" s="284">
        <f>E21*110%</f>
        <v>1.1000000000000001</v>
      </c>
      <c r="P21" s="284">
        <f>E21*456%</f>
        <v>4.5599999999999996</v>
      </c>
      <c r="Q21" s="284">
        <v>950</v>
      </c>
      <c r="R21" s="284">
        <f>C21/1000*950</f>
        <v>0.95000000000000007</v>
      </c>
    </row>
    <row r="22" spans="1:18" ht="18.75" x14ac:dyDescent="0.3">
      <c r="A22" s="33"/>
      <c r="B22" s="284" t="s">
        <v>67</v>
      </c>
      <c r="C22" s="284">
        <v>15</v>
      </c>
      <c r="D22" s="284">
        <v>0</v>
      </c>
      <c r="E22" s="284">
        <v>15</v>
      </c>
      <c r="F22" s="284">
        <v>0</v>
      </c>
      <c r="G22" s="284">
        <v>0</v>
      </c>
      <c r="H22" s="284">
        <f>E22*99.8%</f>
        <v>14.97</v>
      </c>
      <c r="I22" s="284">
        <f>E22*379%</f>
        <v>56.85</v>
      </c>
      <c r="J22" s="284">
        <v>0</v>
      </c>
      <c r="K22" s="284">
        <v>0</v>
      </c>
      <c r="L22" s="284">
        <v>0</v>
      </c>
      <c r="M22" s="284">
        <f>E22*2%</f>
        <v>0.3</v>
      </c>
      <c r="N22" s="284">
        <v>0</v>
      </c>
      <c r="O22" s="284">
        <v>0</v>
      </c>
      <c r="P22" s="284">
        <f>E22*0.3%</f>
        <v>4.4999999999999998E-2</v>
      </c>
      <c r="Q22" s="284">
        <v>60</v>
      </c>
      <c r="R22" s="284">
        <f>C22/1000*60</f>
        <v>0.89999999999999991</v>
      </c>
    </row>
    <row r="23" spans="1:18" s="68" customFormat="1" ht="18.75" x14ac:dyDescent="0.25">
      <c r="A23" s="69"/>
      <c r="B23" s="56" t="s">
        <v>68</v>
      </c>
      <c r="C23" s="66">
        <f>SUM(C21:C22)</f>
        <v>16</v>
      </c>
      <c r="D23" s="66">
        <f>SUM(D22:D22)</f>
        <v>0</v>
      </c>
      <c r="E23" s="66">
        <v>150</v>
      </c>
      <c r="F23" s="66">
        <f t="shared" ref="F23:P23" si="3">SUM(F22:F22)</f>
        <v>0</v>
      </c>
      <c r="G23" s="66">
        <f t="shared" si="3"/>
        <v>0</v>
      </c>
      <c r="H23" s="66">
        <f t="shared" si="3"/>
        <v>14.97</v>
      </c>
      <c r="I23" s="66">
        <f t="shared" si="3"/>
        <v>56.85</v>
      </c>
      <c r="J23" s="66">
        <f t="shared" si="3"/>
        <v>0</v>
      </c>
      <c r="K23" s="66">
        <f t="shared" si="3"/>
        <v>0</v>
      </c>
      <c r="L23" s="66">
        <f t="shared" si="3"/>
        <v>0</v>
      </c>
      <c r="M23" s="66">
        <f t="shared" si="3"/>
        <v>0.3</v>
      </c>
      <c r="N23" s="66">
        <f t="shared" si="3"/>
        <v>0</v>
      </c>
      <c r="O23" s="66">
        <f t="shared" si="3"/>
        <v>0</v>
      </c>
      <c r="P23" s="66">
        <f t="shared" si="3"/>
        <v>4.4999999999999998E-2</v>
      </c>
      <c r="Q23" s="66"/>
      <c r="R23" s="66">
        <f>SUM(R21:R22)</f>
        <v>1.85</v>
      </c>
    </row>
    <row r="24" spans="1:18" ht="27" customHeight="1" x14ac:dyDescent="0.35">
      <c r="A24" s="30"/>
      <c r="B24" s="165" t="s">
        <v>112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9"/>
    </row>
    <row r="25" spans="1:18" s="68" customFormat="1" ht="18.75" x14ac:dyDescent="0.25">
      <c r="A25" s="65"/>
      <c r="B25" s="56" t="s">
        <v>68</v>
      </c>
      <c r="C25" s="66">
        <v>40</v>
      </c>
      <c r="D25" s="66">
        <v>0</v>
      </c>
      <c r="E25" s="66">
        <f>C25-D25</f>
        <v>40</v>
      </c>
      <c r="F25" s="67">
        <f>E25*7.5%</f>
        <v>3</v>
      </c>
      <c r="G25" s="67">
        <f>E25*11.8%</f>
        <v>4.7200000000000006</v>
      </c>
      <c r="H25" s="67">
        <f>E25*74.4%</f>
        <v>29.760000000000005</v>
      </c>
      <c r="I25" s="67">
        <f>E25*436%</f>
        <v>174.4</v>
      </c>
      <c r="J25" s="67">
        <f>E25*0.08%</f>
        <v>3.2000000000000001E-2</v>
      </c>
      <c r="K25" s="67">
        <f>E25*0%</f>
        <v>0</v>
      </c>
      <c r="L25" s="67">
        <f>E25*0%</f>
        <v>0</v>
      </c>
      <c r="M25" s="67">
        <f>E25*29%</f>
        <v>11.6</v>
      </c>
      <c r="N25" s="67">
        <f>E25*90%</f>
        <v>36</v>
      </c>
      <c r="O25" s="67">
        <f>E25*20%</f>
        <v>8</v>
      </c>
      <c r="P25" s="67">
        <f>E25*2.1%</f>
        <v>0.84000000000000008</v>
      </c>
      <c r="Q25" s="67">
        <v>160</v>
      </c>
      <c r="R25" s="66">
        <f>C25/1000*160</f>
        <v>6.4</v>
      </c>
    </row>
    <row r="26" spans="1:18" ht="25.5" customHeight="1" x14ac:dyDescent="0.25">
      <c r="A26" s="222" t="s">
        <v>92</v>
      </c>
      <c r="B26" s="223"/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4"/>
    </row>
    <row r="27" spans="1:18" s="73" customFormat="1" ht="22.5" customHeight="1" x14ac:dyDescent="0.25">
      <c r="A27" s="71"/>
      <c r="B27" s="72" t="s">
        <v>68</v>
      </c>
      <c r="C27" s="72">
        <v>100</v>
      </c>
      <c r="D27" s="72">
        <v>0</v>
      </c>
      <c r="E27" s="72">
        <v>100</v>
      </c>
      <c r="F27" s="72">
        <f>E27*0.4%</f>
        <v>0.4</v>
      </c>
      <c r="G27" s="72">
        <f>E27*0.4%</f>
        <v>0.4</v>
      </c>
      <c r="H27" s="72">
        <f>E27*9.8%</f>
        <v>9.8000000000000007</v>
      </c>
      <c r="I27" s="72">
        <f>E27*45%</f>
        <v>45</v>
      </c>
      <c r="J27" s="72">
        <f>E27*0.03%</f>
        <v>0.03</v>
      </c>
      <c r="K27" s="72">
        <f>E27*13%</f>
        <v>13</v>
      </c>
      <c r="L27" s="72">
        <v>0</v>
      </c>
      <c r="M27" s="72">
        <f>E27*16%</f>
        <v>16</v>
      </c>
      <c r="N27" s="72">
        <f>E27*11%</f>
        <v>11</v>
      </c>
      <c r="O27" s="72">
        <f>E27*9%</f>
        <v>9</v>
      </c>
      <c r="P27" s="72">
        <f>E27*2.2%</f>
        <v>2.2000000000000002</v>
      </c>
      <c r="Q27" s="72">
        <v>100</v>
      </c>
      <c r="R27" s="72">
        <f>C27/1000*100</f>
        <v>10</v>
      </c>
    </row>
    <row r="28" spans="1:18" ht="22.5" customHeight="1" x14ac:dyDescent="0.25">
      <c r="A28" s="225" t="s">
        <v>93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7"/>
    </row>
    <row r="29" spans="1:18" ht="18.75" x14ac:dyDescent="0.25">
      <c r="A29" s="56"/>
      <c r="B29" s="43" t="s">
        <v>68</v>
      </c>
      <c r="C29" s="43">
        <v>3</v>
      </c>
      <c r="D29" s="43">
        <v>0</v>
      </c>
      <c r="E29" s="43">
        <f>C29-D29</f>
        <v>3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20</v>
      </c>
      <c r="R29" s="43">
        <f>C29/1000*20</f>
        <v>0.06</v>
      </c>
    </row>
    <row r="30" spans="1:18" ht="29.25" customHeight="1" x14ac:dyDescent="0.25">
      <c r="A30" s="45"/>
      <c r="B30" s="43" t="s">
        <v>68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52">
        <f>R29+R27+R25+R23+R19+R17+R9</f>
        <v>61</v>
      </c>
    </row>
    <row r="31" spans="1:18" ht="70.5" customHeight="1" x14ac:dyDescent="0.25">
      <c r="A31" s="50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</row>
    <row r="32" spans="1:18" ht="33" customHeight="1" x14ac:dyDescent="0.3">
      <c r="A32" s="53"/>
      <c r="B32" s="142" t="s">
        <v>0</v>
      </c>
      <c r="C32" s="48" t="s">
        <v>88</v>
      </c>
      <c r="D32" s="146" t="s">
        <v>20</v>
      </c>
      <c r="E32" s="146" t="s">
        <v>19</v>
      </c>
      <c r="F32" s="128" t="s">
        <v>1</v>
      </c>
      <c r="G32" s="128" t="s">
        <v>2</v>
      </c>
      <c r="H32" s="128" t="s">
        <v>3</v>
      </c>
      <c r="I32" s="128" t="s">
        <v>4</v>
      </c>
      <c r="J32" s="143" t="s">
        <v>5</v>
      </c>
      <c r="K32" s="143"/>
      <c r="L32" s="143"/>
      <c r="M32" s="143" t="s">
        <v>6</v>
      </c>
      <c r="N32" s="143"/>
      <c r="O32" s="143"/>
      <c r="P32" s="143"/>
      <c r="Q32" s="139" t="s">
        <v>65</v>
      </c>
      <c r="R32" s="255" t="s">
        <v>115</v>
      </c>
    </row>
    <row r="33" spans="1:18" ht="24" customHeight="1" x14ac:dyDescent="0.3">
      <c r="A33" s="53"/>
      <c r="B33" s="142"/>
      <c r="C33" s="150" t="s">
        <v>18</v>
      </c>
      <c r="D33" s="147"/>
      <c r="E33" s="147"/>
      <c r="F33" s="129"/>
      <c r="G33" s="129"/>
      <c r="H33" s="129"/>
      <c r="I33" s="129"/>
      <c r="J33" s="128" t="s">
        <v>7</v>
      </c>
      <c r="K33" s="144" t="s">
        <v>8</v>
      </c>
      <c r="L33" s="128" t="s">
        <v>9</v>
      </c>
      <c r="M33" s="128" t="s">
        <v>10</v>
      </c>
      <c r="N33" s="128" t="s">
        <v>11</v>
      </c>
      <c r="O33" s="128" t="s">
        <v>12</v>
      </c>
      <c r="P33" s="128" t="s">
        <v>13</v>
      </c>
      <c r="Q33" s="129"/>
      <c r="R33" s="256"/>
    </row>
    <row r="34" spans="1:18" ht="24" customHeight="1" x14ac:dyDescent="0.3">
      <c r="A34" s="53"/>
      <c r="B34" s="1" t="s">
        <v>69</v>
      </c>
      <c r="C34" s="237"/>
      <c r="D34" s="148"/>
      <c r="E34" s="148"/>
      <c r="F34" s="130"/>
      <c r="G34" s="130"/>
      <c r="H34" s="130"/>
      <c r="I34" s="130"/>
      <c r="J34" s="130"/>
      <c r="K34" s="145"/>
      <c r="L34" s="130"/>
      <c r="M34" s="130"/>
      <c r="N34" s="130"/>
      <c r="O34" s="130"/>
      <c r="P34" s="130"/>
      <c r="Q34" s="130"/>
      <c r="R34" s="257"/>
    </row>
    <row r="35" spans="1:18" s="86" customFormat="1" ht="19.5" customHeight="1" x14ac:dyDescent="0.25">
      <c r="A35" s="125" t="s">
        <v>91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7"/>
    </row>
    <row r="36" spans="1:18" s="97" customFormat="1" ht="22.5" customHeight="1" x14ac:dyDescent="0.25">
      <c r="A36" s="99"/>
      <c r="B36" s="278" t="s">
        <v>15</v>
      </c>
      <c r="C36" s="292">
        <v>15</v>
      </c>
      <c r="D36" s="292">
        <f>C36*0.2</f>
        <v>3</v>
      </c>
      <c r="E36" s="292">
        <f>C36-D36</f>
        <v>12</v>
      </c>
      <c r="F36" s="292">
        <f>E36*1.3%</f>
        <v>0.15600000000000003</v>
      </c>
      <c r="G36" s="292">
        <f>E36*0.001</f>
        <v>1.2E-2</v>
      </c>
      <c r="H36" s="292">
        <f>E36*0.072</f>
        <v>0.86399999999999988</v>
      </c>
      <c r="I36" s="292">
        <f>E36*0.3</f>
        <v>3.5999999999999996</v>
      </c>
      <c r="J36" s="292">
        <f>E36*0.06%</f>
        <v>7.1999999999999998E-3</v>
      </c>
      <c r="K36" s="292">
        <f>E36*5%</f>
        <v>0.60000000000000009</v>
      </c>
      <c r="L36" s="292">
        <v>0</v>
      </c>
      <c r="M36" s="292">
        <f>E36*51%</f>
        <v>6.12</v>
      </c>
      <c r="N36" s="292">
        <f>E36*55%</f>
        <v>6.6000000000000005</v>
      </c>
      <c r="O36" s="292">
        <f>E36*38%</f>
        <v>4.5600000000000005</v>
      </c>
      <c r="P36" s="292">
        <f>E36*0.7%</f>
        <v>8.3999999999999991E-2</v>
      </c>
      <c r="Q36" s="292">
        <v>60</v>
      </c>
      <c r="R36" s="292">
        <f>C36/1000*60</f>
        <v>0.89999999999999991</v>
      </c>
    </row>
    <row r="37" spans="1:18" s="64" customFormat="1" ht="19.5" customHeight="1" x14ac:dyDescent="0.25">
      <c r="A37" s="74"/>
      <c r="B37" s="279" t="s">
        <v>76</v>
      </c>
      <c r="C37" s="304">
        <v>5</v>
      </c>
      <c r="D37" s="304">
        <v>0</v>
      </c>
      <c r="E37" s="304">
        <f>C37-D37</f>
        <v>5</v>
      </c>
      <c r="F37" s="304">
        <v>0</v>
      </c>
      <c r="G37" s="305">
        <f>E37*0.999</f>
        <v>4.9950000000000001</v>
      </c>
      <c r="H37" s="304">
        <v>0</v>
      </c>
      <c r="I37" s="304">
        <f>E37*8.99</f>
        <v>44.95</v>
      </c>
      <c r="J37" s="304">
        <f>E37*0.06%</f>
        <v>2.9999999999999996E-3</v>
      </c>
      <c r="K37" s="304">
        <v>0</v>
      </c>
      <c r="L37" s="304">
        <v>0</v>
      </c>
      <c r="M37" s="304">
        <v>0</v>
      </c>
      <c r="N37" s="304">
        <v>0</v>
      </c>
      <c r="O37" s="304">
        <v>0</v>
      </c>
      <c r="P37" s="304">
        <v>0</v>
      </c>
      <c r="Q37" s="304">
        <v>180</v>
      </c>
      <c r="R37" s="304">
        <f>C37/1000*180</f>
        <v>0.9</v>
      </c>
    </row>
    <row r="38" spans="1:18" s="97" customFormat="1" ht="22.5" customHeight="1" x14ac:dyDescent="0.25">
      <c r="A38" s="74"/>
      <c r="B38" s="278" t="s">
        <v>16</v>
      </c>
      <c r="C38" s="292">
        <v>25</v>
      </c>
      <c r="D38" s="292">
        <f>C38*0.2</f>
        <v>5</v>
      </c>
      <c r="E38" s="292">
        <f>C38-D38</f>
        <v>20</v>
      </c>
      <c r="F38" s="292">
        <f>E38*0.018</f>
        <v>0.36</v>
      </c>
      <c r="G38" s="292">
        <f>E38*0.001</f>
        <v>0.02</v>
      </c>
      <c r="H38" s="292">
        <f>E38*0.047</f>
        <v>0.94</v>
      </c>
      <c r="I38" s="292">
        <f>E38*0.27</f>
        <v>5.4</v>
      </c>
      <c r="J38" s="292">
        <f>E38*0.03%</f>
        <v>5.9999999999999993E-3</v>
      </c>
      <c r="K38" s="292">
        <f>E38*45%</f>
        <v>9</v>
      </c>
      <c r="L38" s="292">
        <v>0</v>
      </c>
      <c r="M38" s="292">
        <f>E38*48%</f>
        <v>9.6</v>
      </c>
      <c r="N38" s="292">
        <f>E38*31%</f>
        <v>6.2</v>
      </c>
      <c r="O38" s="292">
        <f>E38*16%</f>
        <v>3.2</v>
      </c>
      <c r="P38" s="292">
        <f>E38*0.6%</f>
        <v>0.12</v>
      </c>
      <c r="Q38" s="292">
        <v>30</v>
      </c>
      <c r="R38" s="292">
        <f>C38/1000*30</f>
        <v>0.75</v>
      </c>
    </row>
    <row r="39" spans="1:18" s="97" customFormat="1" ht="22.5" customHeight="1" x14ac:dyDescent="0.25">
      <c r="A39" s="74"/>
      <c r="B39" s="278" t="s">
        <v>17</v>
      </c>
      <c r="C39" s="292">
        <v>3</v>
      </c>
      <c r="D39" s="292">
        <v>0</v>
      </c>
      <c r="E39" s="292">
        <f>C39-D39</f>
        <v>3</v>
      </c>
      <c r="F39" s="292">
        <v>0</v>
      </c>
      <c r="G39" s="292">
        <f>E39*0.999</f>
        <v>2.9969999999999999</v>
      </c>
      <c r="H39" s="292">
        <v>0</v>
      </c>
      <c r="I39" s="292">
        <f>E39*8.99%</f>
        <v>0.26970000000000005</v>
      </c>
      <c r="J39" s="292">
        <f>E39*0.06%</f>
        <v>1.8E-3</v>
      </c>
      <c r="K39" s="292">
        <v>0</v>
      </c>
      <c r="L39" s="292">
        <v>0</v>
      </c>
      <c r="M39" s="292">
        <v>0</v>
      </c>
      <c r="N39" s="292">
        <v>0</v>
      </c>
      <c r="O39" s="292">
        <v>0</v>
      </c>
      <c r="P39" s="292">
        <v>0</v>
      </c>
      <c r="Q39" s="292">
        <v>150</v>
      </c>
      <c r="R39" s="292">
        <f>C39/1000*150</f>
        <v>0.45</v>
      </c>
    </row>
    <row r="40" spans="1:18" s="89" customFormat="1" ht="22.5" customHeight="1" x14ac:dyDescent="0.3">
      <c r="A40" s="90"/>
      <c r="B40" s="91" t="s">
        <v>68</v>
      </c>
      <c r="C40" s="92">
        <f>SUM(C36:C39)</f>
        <v>48</v>
      </c>
      <c r="D40" s="92">
        <f t="shared" ref="D40:P40" si="4">SUM(D36:D39)</f>
        <v>8</v>
      </c>
      <c r="E40" s="92">
        <f t="shared" si="4"/>
        <v>40</v>
      </c>
      <c r="F40" s="92">
        <f t="shared" si="4"/>
        <v>0.51600000000000001</v>
      </c>
      <c r="G40" s="92">
        <f t="shared" si="4"/>
        <v>8.0239999999999991</v>
      </c>
      <c r="H40" s="92">
        <f t="shared" si="4"/>
        <v>1.8039999999999998</v>
      </c>
      <c r="I40" s="92">
        <f t="shared" si="4"/>
        <v>54.219700000000003</v>
      </c>
      <c r="J40" s="92">
        <f t="shared" si="4"/>
        <v>1.7999999999999999E-2</v>
      </c>
      <c r="K40" s="92">
        <f t="shared" si="4"/>
        <v>9.6</v>
      </c>
      <c r="L40" s="92">
        <f t="shared" si="4"/>
        <v>0</v>
      </c>
      <c r="M40" s="92">
        <f t="shared" si="4"/>
        <v>15.719999999999999</v>
      </c>
      <c r="N40" s="92">
        <f t="shared" si="4"/>
        <v>12.8</v>
      </c>
      <c r="O40" s="92">
        <f t="shared" si="4"/>
        <v>7.7600000000000007</v>
      </c>
      <c r="P40" s="92">
        <f t="shared" si="4"/>
        <v>0.20399999999999999</v>
      </c>
      <c r="Q40" s="92"/>
      <c r="R40" s="92">
        <f t="shared" ref="R40" si="5">SUM(R36:R39)</f>
        <v>3</v>
      </c>
    </row>
    <row r="41" spans="1:18" s="86" customFormat="1" ht="21" x14ac:dyDescent="0.35">
      <c r="A41" s="88"/>
      <c r="B41" s="119" t="s">
        <v>119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1"/>
    </row>
    <row r="42" spans="1:18" s="95" customFormat="1" ht="22.5" customHeight="1" x14ac:dyDescent="0.25">
      <c r="A42" s="93"/>
      <c r="B42" s="280" t="s">
        <v>122</v>
      </c>
      <c r="C42" s="304">
        <v>50</v>
      </c>
      <c r="D42" s="304">
        <f>C42*26.4%</f>
        <v>13.200000000000001</v>
      </c>
      <c r="E42" s="304">
        <f>SUM(C42-D42)</f>
        <v>36.799999999999997</v>
      </c>
      <c r="F42" s="304">
        <f>E42*18.6%</f>
        <v>6.8448000000000002</v>
      </c>
      <c r="G42" s="304">
        <f>E42*16%</f>
        <v>5.8879999999999999</v>
      </c>
      <c r="H42" s="304">
        <v>0</v>
      </c>
      <c r="I42" s="304">
        <f>E42*218%</f>
        <v>80.224000000000004</v>
      </c>
      <c r="J42" s="304">
        <f>E42*0.06%</f>
        <v>2.2079999999999995E-2</v>
      </c>
      <c r="K42" s="304">
        <v>0</v>
      </c>
      <c r="L42" s="304">
        <v>0</v>
      </c>
      <c r="M42" s="304">
        <f>E42*9%</f>
        <v>3.3119999999999998</v>
      </c>
      <c r="N42" s="304">
        <f>E42*188%</f>
        <v>69.183999999999997</v>
      </c>
      <c r="O42" s="304">
        <f>E42*22%</f>
        <v>8.0960000000000001</v>
      </c>
      <c r="P42" s="304">
        <f>E42*2.7%</f>
        <v>0.99360000000000004</v>
      </c>
      <c r="Q42" s="304">
        <v>490</v>
      </c>
      <c r="R42" s="304">
        <f>C42/1000*490</f>
        <v>24.5</v>
      </c>
    </row>
    <row r="43" spans="1:18" s="97" customFormat="1" ht="22.5" customHeight="1" x14ac:dyDescent="0.25">
      <c r="A43" s="96"/>
      <c r="B43" s="281" t="s">
        <v>71</v>
      </c>
      <c r="C43" s="282">
        <v>35</v>
      </c>
      <c r="D43" s="282">
        <f>C43*0.25</f>
        <v>8.75</v>
      </c>
      <c r="E43" s="282">
        <f>C43-D43</f>
        <v>26.25</v>
      </c>
      <c r="F43" s="282">
        <f>E43*2%</f>
        <v>0.52500000000000002</v>
      </c>
      <c r="G43" s="282">
        <f>E43*0.4%</f>
        <v>0.105</v>
      </c>
      <c r="H43" s="282">
        <f>E43*16.3%</f>
        <v>4.2787500000000005</v>
      </c>
      <c r="I43" s="282">
        <f>E43*80%</f>
        <v>21</v>
      </c>
      <c r="J43" s="282">
        <f>E43*0.12%</f>
        <v>3.15E-2</v>
      </c>
      <c r="K43" s="282">
        <f>E43*20%</f>
        <v>5.25</v>
      </c>
      <c r="L43" s="282">
        <v>0</v>
      </c>
      <c r="M43" s="282">
        <f>E43*10%</f>
        <v>2.625</v>
      </c>
      <c r="N43" s="282">
        <f>E43*58%</f>
        <v>15.225</v>
      </c>
      <c r="O43" s="282">
        <f>E43*23%</f>
        <v>6.0375000000000005</v>
      </c>
      <c r="P43" s="282">
        <f>E43*0.9%</f>
        <v>0.23625000000000002</v>
      </c>
      <c r="Q43" s="282">
        <v>57</v>
      </c>
      <c r="R43" s="282">
        <f>C43/1000*57</f>
        <v>1.9950000000000001</v>
      </c>
    </row>
    <row r="44" spans="1:18" s="97" customFormat="1" ht="18.75" x14ac:dyDescent="0.25">
      <c r="A44" s="96"/>
      <c r="B44" s="281" t="s">
        <v>15</v>
      </c>
      <c r="C44" s="282">
        <v>15</v>
      </c>
      <c r="D44" s="282">
        <f>C44*0.2</f>
        <v>3</v>
      </c>
      <c r="E44" s="282">
        <f>C44-D44</f>
        <v>12</v>
      </c>
      <c r="F44" s="282">
        <f>E44*1.3%</f>
        <v>0.15600000000000003</v>
      </c>
      <c r="G44" s="306">
        <f>E44*0.001</f>
        <v>1.2E-2</v>
      </c>
      <c r="H44" s="282">
        <f>E44*0.072</f>
        <v>0.86399999999999988</v>
      </c>
      <c r="I44" s="282">
        <f>E44*0.3</f>
        <v>3.5999999999999996</v>
      </c>
      <c r="J44" s="282">
        <f>E44*0.06%</f>
        <v>7.1999999999999998E-3</v>
      </c>
      <c r="K44" s="282">
        <f>E44*5%</f>
        <v>0.60000000000000009</v>
      </c>
      <c r="L44" s="282">
        <v>0</v>
      </c>
      <c r="M44" s="282">
        <f>E44*51%</f>
        <v>6.12</v>
      </c>
      <c r="N44" s="282">
        <f>E44*55%</f>
        <v>6.6000000000000005</v>
      </c>
      <c r="O44" s="282">
        <f>E44*38%</f>
        <v>4.5600000000000005</v>
      </c>
      <c r="P44" s="282">
        <f>E44*0.7%</f>
        <v>8.3999999999999991E-2</v>
      </c>
      <c r="Q44" s="282">
        <v>60</v>
      </c>
      <c r="R44" s="281">
        <f>C44/1000*60</f>
        <v>0.89999999999999991</v>
      </c>
    </row>
    <row r="45" spans="1:18" s="97" customFormat="1" ht="18.75" x14ac:dyDescent="0.25">
      <c r="A45" s="96"/>
      <c r="B45" s="281" t="s">
        <v>72</v>
      </c>
      <c r="C45" s="282">
        <v>15</v>
      </c>
      <c r="D45" s="282">
        <f>C45*0.16</f>
        <v>2.4</v>
      </c>
      <c r="E45" s="282">
        <f>C45-D45</f>
        <v>12.6</v>
      </c>
      <c r="F45" s="282">
        <f>E45*1.4%</f>
        <v>0.17639999999999997</v>
      </c>
      <c r="G45" s="307">
        <v>0</v>
      </c>
      <c r="H45" s="282">
        <f>E45*9.1%</f>
        <v>1.1465999999999998</v>
      </c>
      <c r="I45" s="282">
        <f>E45*41%</f>
        <v>5.1659999999999995</v>
      </c>
      <c r="J45" s="282">
        <f>E45*0.05%</f>
        <v>6.3E-3</v>
      </c>
      <c r="K45" s="282">
        <f>E45*10%</f>
        <v>1.26</v>
      </c>
      <c r="L45" s="282">
        <v>0</v>
      </c>
      <c r="M45" s="282">
        <f>E45*31%</f>
        <v>3.9059999999999997</v>
      </c>
      <c r="N45" s="282">
        <f>E45*58%</f>
        <v>7.3079999999999989</v>
      </c>
      <c r="O45" s="282">
        <f>E45*14%</f>
        <v>1.764</v>
      </c>
      <c r="P45" s="282">
        <f>E45*0.8%</f>
        <v>0.1008</v>
      </c>
      <c r="Q45" s="282">
        <v>40</v>
      </c>
      <c r="R45" s="282">
        <f>C45/1000*40</f>
        <v>0.6</v>
      </c>
    </row>
    <row r="46" spans="1:18" s="97" customFormat="1" ht="18.75" x14ac:dyDescent="0.25">
      <c r="A46" s="93"/>
      <c r="B46" s="281" t="s">
        <v>22</v>
      </c>
      <c r="C46" s="282">
        <v>9</v>
      </c>
      <c r="D46" s="282">
        <v>0</v>
      </c>
      <c r="E46" s="282">
        <f>C46-D46</f>
        <v>9</v>
      </c>
      <c r="F46" s="282">
        <f>E46*0.5%</f>
        <v>4.4999999999999998E-2</v>
      </c>
      <c r="G46" s="282">
        <f>E46*82.5%</f>
        <v>7.4249999999999998</v>
      </c>
      <c r="H46" s="282">
        <f>E46*0.8%</f>
        <v>7.2000000000000008E-2</v>
      </c>
      <c r="I46" s="282">
        <f>E46*748%</f>
        <v>67.320000000000007</v>
      </c>
      <c r="J46" s="282">
        <v>0</v>
      </c>
      <c r="K46" s="282">
        <v>0</v>
      </c>
      <c r="L46" s="282">
        <f>E46*0.59%</f>
        <v>5.3100000000000001E-2</v>
      </c>
      <c r="M46" s="282">
        <f>E46*12%</f>
        <v>1.08</v>
      </c>
      <c r="N46" s="282">
        <f>E46*19%</f>
        <v>1.71</v>
      </c>
      <c r="O46" s="282">
        <f>E46*0.4%</f>
        <v>3.6000000000000004E-2</v>
      </c>
      <c r="P46" s="282">
        <f>E46*0.2%</f>
        <v>1.8000000000000002E-2</v>
      </c>
      <c r="Q46" s="282">
        <v>480</v>
      </c>
      <c r="R46" s="295">
        <f>C46/1000*480</f>
        <v>4.3199999999999994</v>
      </c>
    </row>
    <row r="47" spans="1:18" s="97" customFormat="1" x14ac:dyDescent="0.25">
      <c r="A47" s="98"/>
      <c r="B47" s="282" t="s">
        <v>25</v>
      </c>
      <c r="C47" s="282">
        <v>3</v>
      </c>
      <c r="D47" s="282">
        <v>0</v>
      </c>
      <c r="E47" s="282">
        <f>SUM(C47:D47)</f>
        <v>3</v>
      </c>
      <c r="F47" s="282">
        <f>E47*1%</f>
        <v>0.03</v>
      </c>
      <c r="G47" s="282">
        <v>0</v>
      </c>
      <c r="H47" s="282">
        <f>E47*3.5%</f>
        <v>0.10500000000000001</v>
      </c>
      <c r="I47" s="282">
        <f>E47*19%</f>
        <v>0.57000000000000006</v>
      </c>
      <c r="J47" s="282">
        <f>E47*0.03%</f>
        <v>8.9999999999999998E-4</v>
      </c>
      <c r="K47" s="282">
        <f>E47*10%</f>
        <v>0.30000000000000004</v>
      </c>
      <c r="L47" s="282">
        <v>0</v>
      </c>
      <c r="M47" s="282">
        <f>C47*7%</f>
        <v>0.21000000000000002</v>
      </c>
      <c r="N47" s="282">
        <f>E47*32%</f>
        <v>0.96</v>
      </c>
      <c r="O47" s="282">
        <f>E47*12%</f>
        <v>0.36</v>
      </c>
      <c r="P47" s="282">
        <f>E47*0.7%</f>
        <v>2.0999999999999998E-2</v>
      </c>
      <c r="Q47" s="282">
        <v>150</v>
      </c>
      <c r="R47" s="282">
        <f>C47/1000*150</f>
        <v>0.45</v>
      </c>
    </row>
    <row r="48" spans="1:18" s="97" customFormat="1" ht="18.75" x14ac:dyDescent="0.25">
      <c r="A48" s="96"/>
      <c r="B48" s="281" t="s">
        <v>77</v>
      </c>
      <c r="C48" s="282">
        <v>30</v>
      </c>
      <c r="D48" s="282">
        <v>0</v>
      </c>
      <c r="E48" s="282">
        <f>C48-D48</f>
        <v>30</v>
      </c>
      <c r="F48" s="282">
        <f>E48*23%</f>
        <v>6.9</v>
      </c>
      <c r="G48" s="282">
        <f>E48*1.6%</f>
        <v>0.48</v>
      </c>
      <c r="H48" s="282">
        <f>E48*50.8%</f>
        <v>15.24</v>
      </c>
      <c r="I48" s="282">
        <f>E48*314%</f>
        <v>94.2</v>
      </c>
      <c r="J48" s="282">
        <f>E48*0.9%</f>
        <v>0.27</v>
      </c>
      <c r="K48" s="282">
        <v>0</v>
      </c>
      <c r="L48" s="282">
        <v>0</v>
      </c>
      <c r="M48" s="282">
        <f>E48*89%</f>
        <v>26.7</v>
      </c>
      <c r="N48" s="282">
        <f>E48*226%</f>
        <v>67.8</v>
      </c>
      <c r="O48" s="282">
        <f>E48*88%</f>
        <v>26.4</v>
      </c>
      <c r="P48" s="282">
        <f>E48*7%</f>
        <v>2.1</v>
      </c>
      <c r="Q48" s="282">
        <v>60</v>
      </c>
      <c r="R48" s="295">
        <f>C48/1000*60</f>
        <v>1.7999999999999998</v>
      </c>
    </row>
    <row r="49" spans="1:18" s="75" customFormat="1" ht="18.75" x14ac:dyDescent="0.25">
      <c r="A49" s="76"/>
      <c r="B49" s="77" t="s">
        <v>68</v>
      </c>
      <c r="C49" s="78">
        <f>C48+C46+C45+C44+C43</f>
        <v>104</v>
      </c>
      <c r="D49" s="78">
        <f t="shared" ref="D49:P49" si="6">SUM(D43:D48)</f>
        <v>14.15</v>
      </c>
      <c r="E49" s="78">
        <v>250</v>
      </c>
      <c r="F49" s="78">
        <f t="shared" si="6"/>
        <v>7.8324000000000007</v>
      </c>
      <c r="G49" s="78">
        <f t="shared" si="6"/>
        <v>8.0220000000000002</v>
      </c>
      <c r="H49" s="78">
        <f t="shared" si="6"/>
        <v>21.70635</v>
      </c>
      <c r="I49" s="78">
        <f t="shared" si="6"/>
        <v>191.85599999999999</v>
      </c>
      <c r="J49" s="78">
        <f t="shared" si="6"/>
        <v>0.31590000000000001</v>
      </c>
      <c r="K49" s="78">
        <f t="shared" si="6"/>
        <v>7.4099999999999993</v>
      </c>
      <c r="L49" s="78">
        <f t="shared" si="6"/>
        <v>5.3100000000000001E-2</v>
      </c>
      <c r="M49" s="78">
        <f t="shared" si="6"/>
        <v>40.640999999999998</v>
      </c>
      <c r="N49" s="78">
        <f t="shared" si="6"/>
        <v>99.602999999999994</v>
      </c>
      <c r="O49" s="78">
        <f t="shared" si="6"/>
        <v>39.157499999999999</v>
      </c>
      <c r="P49" s="78">
        <f t="shared" si="6"/>
        <v>2.5600500000000004</v>
      </c>
      <c r="Q49" s="78"/>
      <c r="R49" s="78">
        <f>SUM(R42:R48)</f>
        <v>34.564999999999998</v>
      </c>
    </row>
    <row r="50" spans="1:18" s="87" customFormat="1" ht="21" x14ac:dyDescent="0.35">
      <c r="A50" s="30"/>
      <c r="B50" s="157" t="s">
        <v>104</v>
      </c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9"/>
    </row>
    <row r="51" spans="1:18" s="87" customFormat="1" ht="18.75" x14ac:dyDescent="0.3">
      <c r="A51" s="30"/>
      <c r="B51" s="27" t="s">
        <v>68</v>
      </c>
      <c r="C51" s="4">
        <v>50</v>
      </c>
      <c r="D51" s="4">
        <v>0</v>
      </c>
      <c r="E51" s="4">
        <f>C51-D51</f>
        <v>50</v>
      </c>
      <c r="F51" s="4">
        <f>E51*7.9%</f>
        <v>3.95</v>
      </c>
      <c r="G51" s="4">
        <f>E51*1%</f>
        <v>0.5</v>
      </c>
      <c r="H51" s="4">
        <f>E51*48.1%</f>
        <v>24.05</v>
      </c>
      <c r="I51" s="4">
        <f>E51*239%</f>
        <v>119.5</v>
      </c>
      <c r="J51" s="4">
        <f>E51*0.16%</f>
        <v>0.08</v>
      </c>
      <c r="K51" s="4">
        <v>0</v>
      </c>
      <c r="L51" s="4">
        <v>0</v>
      </c>
      <c r="M51" s="4">
        <f>E51*23%</f>
        <v>11.5</v>
      </c>
      <c r="N51" s="4">
        <f>E51*87%</f>
        <v>43.5</v>
      </c>
      <c r="O51" s="4">
        <f>E51*33%</f>
        <v>16.5</v>
      </c>
      <c r="P51" s="4">
        <f>E51*2%</f>
        <v>1</v>
      </c>
      <c r="Q51" s="4">
        <v>50</v>
      </c>
      <c r="R51" s="85">
        <f>C51/1000*50</f>
        <v>2.5</v>
      </c>
    </row>
    <row r="52" spans="1:18" s="86" customFormat="1" ht="21" x14ac:dyDescent="0.35">
      <c r="A52" s="88"/>
      <c r="B52" s="160" t="s">
        <v>110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2"/>
    </row>
    <row r="53" spans="1:18" s="87" customFormat="1" ht="18.75" x14ac:dyDescent="0.3">
      <c r="A53" s="30"/>
      <c r="B53" s="85" t="s">
        <v>66</v>
      </c>
      <c r="C53" s="85">
        <v>15</v>
      </c>
      <c r="D53" s="85">
        <v>0</v>
      </c>
      <c r="E53" s="85">
        <v>15</v>
      </c>
      <c r="F53" s="85">
        <f>E53*5.2%</f>
        <v>0.78</v>
      </c>
      <c r="G53" s="85">
        <v>0</v>
      </c>
      <c r="H53" s="85">
        <f>E53*55%</f>
        <v>8.25</v>
      </c>
      <c r="I53" s="85">
        <f>E53*234%</f>
        <v>35.099999999999994</v>
      </c>
      <c r="J53" s="85">
        <f>E53*0.1%</f>
        <v>1.4999999999999999E-2</v>
      </c>
      <c r="K53" s="85">
        <f>E53*4%</f>
        <v>0.6</v>
      </c>
      <c r="L53" s="85">
        <v>0</v>
      </c>
      <c r="M53" s="85">
        <f>E53*160%</f>
        <v>24</v>
      </c>
      <c r="N53" s="85">
        <f>E53*146%</f>
        <v>21.9</v>
      </c>
      <c r="O53" s="85">
        <f>E53*105%</f>
        <v>15.75</v>
      </c>
      <c r="P53" s="85">
        <f>E53*3.2%</f>
        <v>0.48</v>
      </c>
      <c r="Q53" s="85">
        <v>350</v>
      </c>
      <c r="R53" s="85">
        <f>C53/1000*350</f>
        <v>5.25</v>
      </c>
    </row>
    <row r="54" spans="1:18" s="87" customFormat="1" ht="18.75" x14ac:dyDescent="0.3">
      <c r="A54" s="30"/>
      <c r="B54" s="85" t="s">
        <v>67</v>
      </c>
      <c r="C54" s="85">
        <v>10</v>
      </c>
      <c r="D54" s="85">
        <v>0</v>
      </c>
      <c r="E54" s="85">
        <v>10</v>
      </c>
      <c r="F54" s="85">
        <v>0</v>
      </c>
      <c r="G54" s="85">
        <v>0</v>
      </c>
      <c r="H54" s="85">
        <f>E54*99.8%</f>
        <v>9.98</v>
      </c>
      <c r="I54" s="85">
        <f>E54*379%</f>
        <v>37.9</v>
      </c>
      <c r="J54" s="85">
        <v>0</v>
      </c>
      <c r="K54" s="85">
        <v>0</v>
      </c>
      <c r="L54" s="85">
        <v>0</v>
      </c>
      <c r="M54" s="85">
        <f>E54*2%</f>
        <v>0.2</v>
      </c>
      <c r="N54" s="85">
        <v>0</v>
      </c>
      <c r="O54" s="85">
        <v>0</v>
      </c>
      <c r="P54" s="85">
        <f>E54*0.3%</f>
        <v>0.03</v>
      </c>
      <c r="Q54" s="85">
        <v>60</v>
      </c>
      <c r="R54" s="4">
        <f>C54/1000*60</f>
        <v>0.6</v>
      </c>
    </row>
    <row r="55" spans="1:18" s="87" customFormat="1" ht="18.75" x14ac:dyDescent="0.3">
      <c r="A55" s="30"/>
      <c r="B55" s="27" t="s">
        <v>68</v>
      </c>
      <c r="C55" s="4">
        <f>SUM(C53:C54)</f>
        <v>25</v>
      </c>
      <c r="D55" s="4">
        <f t="shared" ref="D55:P55" si="7">SUM(D53:D54)</f>
        <v>0</v>
      </c>
      <c r="E55" s="4">
        <v>150</v>
      </c>
      <c r="F55" s="4">
        <f t="shared" si="7"/>
        <v>0.78</v>
      </c>
      <c r="G55" s="4">
        <f t="shared" si="7"/>
        <v>0</v>
      </c>
      <c r="H55" s="4">
        <f t="shared" si="7"/>
        <v>18.23</v>
      </c>
      <c r="I55" s="4">
        <f t="shared" si="7"/>
        <v>73</v>
      </c>
      <c r="J55" s="4">
        <f t="shared" si="7"/>
        <v>1.4999999999999999E-2</v>
      </c>
      <c r="K55" s="4">
        <f t="shared" si="7"/>
        <v>0.6</v>
      </c>
      <c r="L55" s="4">
        <f t="shared" si="7"/>
        <v>0</v>
      </c>
      <c r="M55" s="4">
        <f t="shared" si="7"/>
        <v>24.2</v>
      </c>
      <c r="N55" s="4">
        <f t="shared" si="7"/>
        <v>21.9</v>
      </c>
      <c r="O55" s="4">
        <f t="shared" si="7"/>
        <v>15.75</v>
      </c>
      <c r="P55" s="4">
        <f t="shared" si="7"/>
        <v>0.51</v>
      </c>
      <c r="Q55" s="4"/>
      <c r="R55" s="85">
        <f>SUM(R53:R54)</f>
        <v>5.85</v>
      </c>
    </row>
    <row r="56" spans="1:18" s="86" customFormat="1" ht="21" customHeight="1" x14ac:dyDescent="0.35">
      <c r="A56" s="88"/>
      <c r="B56" s="160" t="s">
        <v>120</v>
      </c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4"/>
    </row>
    <row r="57" spans="1:18" s="87" customFormat="1" ht="27" customHeight="1" x14ac:dyDescent="0.3">
      <c r="A57" s="30"/>
      <c r="B57" s="27" t="s">
        <v>68</v>
      </c>
      <c r="C57" s="4">
        <v>100</v>
      </c>
      <c r="D57" s="4">
        <v>0</v>
      </c>
      <c r="E57" s="4">
        <f>C57-D57</f>
        <v>100</v>
      </c>
      <c r="F57" s="4">
        <f>E57*1.5%</f>
        <v>1.5</v>
      </c>
      <c r="G57" s="4">
        <f>E57*0.5%</f>
        <v>0.5</v>
      </c>
      <c r="H57" s="4">
        <f>E57*21%</f>
        <v>21</v>
      </c>
      <c r="I57" s="4">
        <f>E57*96%</f>
        <v>96</v>
      </c>
      <c r="J57" s="4">
        <v>0</v>
      </c>
      <c r="K57" s="4">
        <v>8.6999999999999993</v>
      </c>
      <c r="L57" s="4">
        <v>3</v>
      </c>
      <c r="M57" s="4">
        <v>5</v>
      </c>
      <c r="N57" s="4">
        <v>22</v>
      </c>
      <c r="O57" s="4">
        <v>27</v>
      </c>
      <c r="P57" s="4">
        <v>0.3</v>
      </c>
      <c r="Q57" s="4">
        <v>150</v>
      </c>
      <c r="R57" s="4">
        <f>C57/1000*150</f>
        <v>15</v>
      </c>
    </row>
    <row r="58" spans="1:18" s="87" customFormat="1" ht="19.5" customHeight="1" x14ac:dyDescent="0.35">
      <c r="A58" s="30"/>
      <c r="B58" s="165" t="s">
        <v>106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7"/>
    </row>
    <row r="59" spans="1:18" s="87" customFormat="1" ht="27.75" customHeight="1" x14ac:dyDescent="0.3">
      <c r="A59" s="30"/>
      <c r="B59" s="27" t="s">
        <v>68</v>
      </c>
      <c r="C59" s="4">
        <v>3</v>
      </c>
      <c r="D59" s="4">
        <v>0</v>
      </c>
      <c r="E59" s="4">
        <f>C59-D59</f>
        <v>3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20</v>
      </c>
      <c r="R59" s="4">
        <f>C59/1000*20</f>
        <v>0.06</v>
      </c>
    </row>
    <row r="60" spans="1:18" s="87" customFormat="1" ht="27" customHeight="1" x14ac:dyDescent="0.35">
      <c r="A60" s="30"/>
      <c r="B60" s="21" t="s">
        <v>68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36"/>
      <c r="R60" s="25">
        <f>R59+R57+R55+R51+R49+R40</f>
        <v>60.974999999999994</v>
      </c>
    </row>
    <row r="61" spans="1:18" s="87" customFormat="1" ht="27" customHeight="1" x14ac:dyDescent="0.35">
      <c r="A61" s="118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25"/>
    </row>
    <row r="62" spans="1:18" s="87" customFormat="1" ht="27" customHeight="1" x14ac:dyDescent="0.35">
      <c r="A62" s="118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25"/>
    </row>
    <row r="63" spans="1:18" ht="30" customHeight="1" x14ac:dyDescent="0.35">
      <c r="A63" s="35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25"/>
    </row>
    <row r="64" spans="1:18" ht="30" customHeight="1" x14ac:dyDescent="0.35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25"/>
    </row>
    <row r="65" spans="1:18" ht="18.75" x14ac:dyDescent="0.3">
      <c r="A65" s="33"/>
      <c r="B65" s="142" t="s">
        <v>0</v>
      </c>
      <c r="C65" s="149" t="s">
        <v>18</v>
      </c>
      <c r="D65" s="146" t="s">
        <v>20</v>
      </c>
      <c r="E65" s="146" t="s">
        <v>19</v>
      </c>
      <c r="F65" s="128" t="s">
        <v>1</v>
      </c>
      <c r="G65" s="128" t="s">
        <v>2</v>
      </c>
      <c r="H65" s="128" t="s">
        <v>3</v>
      </c>
      <c r="I65" s="128" t="s">
        <v>4</v>
      </c>
      <c r="J65" s="143" t="s">
        <v>5</v>
      </c>
      <c r="K65" s="143"/>
      <c r="L65" s="143"/>
      <c r="M65" s="143" t="s">
        <v>6</v>
      </c>
      <c r="N65" s="143"/>
      <c r="O65" s="143"/>
      <c r="P65" s="143"/>
      <c r="Q65" s="139" t="s">
        <v>65</v>
      </c>
      <c r="R65" s="187" t="s">
        <v>115</v>
      </c>
    </row>
    <row r="66" spans="1:18" ht="18.75" x14ac:dyDescent="0.3">
      <c r="A66" s="33"/>
      <c r="B66" s="142"/>
      <c r="C66" s="150"/>
      <c r="D66" s="147"/>
      <c r="E66" s="147"/>
      <c r="F66" s="129"/>
      <c r="G66" s="129"/>
      <c r="H66" s="129"/>
      <c r="I66" s="129"/>
      <c r="J66" s="128" t="s">
        <v>7</v>
      </c>
      <c r="K66" s="144" t="s">
        <v>8</v>
      </c>
      <c r="L66" s="128" t="s">
        <v>9</v>
      </c>
      <c r="M66" s="128" t="s">
        <v>10</v>
      </c>
      <c r="N66" s="128" t="s">
        <v>11</v>
      </c>
      <c r="O66" s="128" t="s">
        <v>12</v>
      </c>
      <c r="P66" s="128" t="s">
        <v>13</v>
      </c>
      <c r="Q66" s="140"/>
      <c r="R66" s="188"/>
    </row>
    <row r="67" spans="1:18" ht="20.25" x14ac:dyDescent="0.3">
      <c r="A67" s="33"/>
      <c r="B67" s="1" t="s">
        <v>75</v>
      </c>
      <c r="C67" s="151"/>
      <c r="D67" s="148"/>
      <c r="E67" s="148"/>
      <c r="F67" s="130"/>
      <c r="G67" s="130"/>
      <c r="H67" s="130"/>
      <c r="I67" s="130"/>
      <c r="J67" s="130"/>
      <c r="K67" s="145"/>
      <c r="L67" s="130"/>
      <c r="M67" s="130"/>
      <c r="N67" s="130"/>
      <c r="O67" s="130"/>
      <c r="P67" s="130"/>
      <c r="Q67" s="141"/>
      <c r="R67" s="189"/>
    </row>
    <row r="68" spans="1:18" ht="21" x14ac:dyDescent="0.25">
      <c r="A68" s="125" t="s">
        <v>91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7"/>
    </row>
    <row r="69" spans="1:18" ht="18.75" x14ac:dyDescent="0.25">
      <c r="A69" s="99"/>
      <c r="B69" s="278" t="s">
        <v>15</v>
      </c>
      <c r="C69" s="292">
        <v>15</v>
      </c>
      <c r="D69" s="292">
        <f>C69*0.2</f>
        <v>3</v>
      </c>
      <c r="E69" s="292">
        <f>C69-D69</f>
        <v>12</v>
      </c>
      <c r="F69" s="292">
        <f>E69*1.3%</f>
        <v>0.15600000000000003</v>
      </c>
      <c r="G69" s="292">
        <f>E69*0.001</f>
        <v>1.2E-2</v>
      </c>
      <c r="H69" s="292">
        <f>E69*0.072</f>
        <v>0.86399999999999988</v>
      </c>
      <c r="I69" s="292">
        <f>E69*0.3</f>
        <v>3.5999999999999996</v>
      </c>
      <c r="J69" s="292">
        <f>E69*0.06%</f>
        <v>7.1999999999999998E-3</v>
      </c>
      <c r="K69" s="292">
        <f>E69*5%</f>
        <v>0.60000000000000009</v>
      </c>
      <c r="L69" s="292">
        <v>0</v>
      </c>
      <c r="M69" s="292">
        <f>E69*51%</f>
        <v>6.12</v>
      </c>
      <c r="N69" s="292">
        <f>E69*55%</f>
        <v>6.6000000000000005</v>
      </c>
      <c r="O69" s="292">
        <f>E69*38%</f>
        <v>4.5600000000000005</v>
      </c>
      <c r="P69" s="292">
        <f>E69*0.7%</f>
        <v>8.3999999999999991E-2</v>
      </c>
      <c r="Q69" s="292">
        <v>60</v>
      </c>
      <c r="R69" s="292">
        <f>C69/1000*60</f>
        <v>0.89999999999999991</v>
      </c>
    </row>
    <row r="70" spans="1:18" ht="21" customHeight="1" x14ac:dyDescent="0.25">
      <c r="A70" s="74"/>
      <c r="B70" s="279" t="s">
        <v>76</v>
      </c>
      <c r="C70" s="304">
        <v>5</v>
      </c>
      <c r="D70" s="304">
        <v>0</v>
      </c>
      <c r="E70" s="304">
        <f>C70-D70</f>
        <v>5</v>
      </c>
      <c r="F70" s="304">
        <v>0</v>
      </c>
      <c r="G70" s="305">
        <f>E70*0.999</f>
        <v>4.9950000000000001</v>
      </c>
      <c r="H70" s="304">
        <v>0</v>
      </c>
      <c r="I70" s="304">
        <f>E70*8.99</f>
        <v>44.95</v>
      </c>
      <c r="J70" s="304">
        <f>E70*0.06%</f>
        <v>2.9999999999999996E-3</v>
      </c>
      <c r="K70" s="304">
        <v>0</v>
      </c>
      <c r="L70" s="304">
        <v>0</v>
      </c>
      <c r="M70" s="304">
        <v>0</v>
      </c>
      <c r="N70" s="304">
        <v>0</v>
      </c>
      <c r="O70" s="304">
        <v>0</v>
      </c>
      <c r="P70" s="304">
        <v>0</v>
      </c>
      <c r="Q70" s="304">
        <v>180</v>
      </c>
      <c r="R70" s="304">
        <f>C70/1000*180</f>
        <v>0.9</v>
      </c>
    </row>
    <row r="71" spans="1:18" ht="18.75" x14ac:dyDescent="0.25">
      <c r="A71" s="74"/>
      <c r="B71" s="278" t="s">
        <v>16</v>
      </c>
      <c r="C71" s="292">
        <v>25</v>
      </c>
      <c r="D71" s="292">
        <f>C71*0.2</f>
        <v>5</v>
      </c>
      <c r="E71" s="292">
        <f>C71-D71</f>
        <v>20</v>
      </c>
      <c r="F71" s="292">
        <f>E71*0.018</f>
        <v>0.36</v>
      </c>
      <c r="G71" s="292">
        <f>E71*0.001</f>
        <v>0.02</v>
      </c>
      <c r="H71" s="292">
        <f>E71*0.047</f>
        <v>0.94</v>
      </c>
      <c r="I71" s="292">
        <f>E71*0.27</f>
        <v>5.4</v>
      </c>
      <c r="J71" s="292">
        <f>E71*0.03%</f>
        <v>5.9999999999999993E-3</v>
      </c>
      <c r="K71" s="292">
        <f>E71*45%</f>
        <v>9</v>
      </c>
      <c r="L71" s="292">
        <v>0</v>
      </c>
      <c r="M71" s="292">
        <f>E71*48%</f>
        <v>9.6</v>
      </c>
      <c r="N71" s="292">
        <f>E71*31%</f>
        <v>6.2</v>
      </c>
      <c r="O71" s="292">
        <f>E71*16%</f>
        <v>3.2</v>
      </c>
      <c r="P71" s="292">
        <f>E71*0.6%</f>
        <v>0.12</v>
      </c>
      <c r="Q71" s="292">
        <v>30</v>
      </c>
      <c r="R71" s="292">
        <f>C71/1000*30</f>
        <v>0.75</v>
      </c>
    </row>
    <row r="72" spans="1:18" ht="18.75" x14ac:dyDescent="0.25">
      <c r="A72" s="74"/>
      <c r="B72" s="278" t="s">
        <v>17</v>
      </c>
      <c r="C72" s="292">
        <v>3</v>
      </c>
      <c r="D72" s="292">
        <v>0</v>
      </c>
      <c r="E72" s="292">
        <f>C72-D72</f>
        <v>3</v>
      </c>
      <c r="F72" s="292">
        <v>0</v>
      </c>
      <c r="G72" s="292">
        <f>E72*0.999</f>
        <v>2.9969999999999999</v>
      </c>
      <c r="H72" s="292">
        <v>0</v>
      </c>
      <c r="I72" s="292">
        <f>E72*8.99%</f>
        <v>0.26970000000000005</v>
      </c>
      <c r="J72" s="292">
        <f>E72*0.06%</f>
        <v>1.8E-3</v>
      </c>
      <c r="K72" s="292">
        <v>0</v>
      </c>
      <c r="L72" s="292">
        <v>0</v>
      </c>
      <c r="M72" s="292">
        <v>0</v>
      </c>
      <c r="N72" s="292">
        <v>0</v>
      </c>
      <c r="O72" s="292">
        <v>0</v>
      </c>
      <c r="P72" s="292">
        <v>0</v>
      </c>
      <c r="Q72" s="292">
        <v>150</v>
      </c>
      <c r="R72" s="292">
        <f>C72/1000*150</f>
        <v>0.45</v>
      </c>
    </row>
    <row r="73" spans="1:18" ht="18.75" x14ac:dyDescent="0.3">
      <c r="A73" s="90"/>
      <c r="B73" s="91" t="s">
        <v>68</v>
      </c>
      <c r="C73" s="92">
        <f>SUM(C69:C72)</f>
        <v>48</v>
      </c>
      <c r="D73" s="92">
        <f t="shared" ref="D73:P73" si="8">SUM(D69:D72)</f>
        <v>8</v>
      </c>
      <c r="E73" s="92">
        <f t="shared" si="8"/>
        <v>40</v>
      </c>
      <c r="F73" s="92">
        <f t="shared" si="8"/>
        <v>0.51600000000000001</v>
      </c>
      <c r="G73" s="92">
        <f t="shared" si="8"/>
        <v>8.0239999999999991</v>
      </c>
      <c r="H73" s="92">
        <f t="shared" si="8"/>
        <v>1.8039999999999998</v>
      </c>
      <c r="I73" s="92">
        <f t="shared" si="8"/>
        <v>54.219700000000003</v>
      </c>
      <c r="J73" s="92">
        <f t="shared" si="8"/>
        <v>1.7999999999999999E-2</v>
      </c>
      <c r="K73" s="92">
        <f t="shared" si="8"/>
        <v>9.6</v>
      </c>
      <c r="L73" s="92">
        <f t="shared" si="8"/>
        <v>0</v>
      </c>
      <c r="M73" s="92">
        <f t="shared" si="8"/>
        <v>15.719999999999999</v>
      </c>
      <c r="N73" s="92">
        <f t="shared" si="8"/>
        <v>12.8</v>
      </c>
      <c r="O73" s="92">
        <f t="shared" si="8"/>
        <v>7.7600000000000007</v>
      </c>
      <c r="P73" s="92">
        <f t="shared" si="8"/>
        <v>0.20399999999999999</v>
      </c>
      <c r="Q73" s="92"/>
      <c r="R73" s="92">
        <f t="shared" ref="R73" si="9">SUM(R69:R72)</f>
        <v>3</v>
      </c>
    </row>
    <row r="74" spans="1:18" s="83" customFormat="1" ht="21" x14ac:dyDescent="0.35">
      <c r="A74" s="219" t="s">
        <v>124</v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1"/>
    </row>
    <row r="75" spans="1:18" ht="18.75" x14ac:dyDescent="0.3">
      <c r="A75" s="33"/>
      <c r="B75" s="283" t="s">
        <v>71</v>
      </c>
      <c r="C75" s="284">
        <v>154</v>
      </c>
      <c r="D75" s="284">
        <f>C75*0.25</f>
        <v>38.5</v>
      </c>
      <c r="E75" s="284">
        <f>C75-D75</f>
        <v>115.5</v>
      </c>
      <c r="F75" s="284">
        <f>E75*2%</f>
        <v>2.31</v>
      </c>
      <c r="G75" s="284">
        <f>E75*0.4%</f>
        <v>0.46200000000000002</v>
      </c>
      <c r="H75" s="284">
        <f>E75*16.3%</f>
        <v>18.826499999999999</v>
      </c>
      <c r="I75" s="284">
        <f>E75*80%</f>
        <v>92.4</v>
      </c>
      <c r="J75" s="284">
        <f>E75*0.12%</f>
        <v>0.1386</v>
      </c>
      <c r="K75" s="284">
        <f>E75*20%</f>
        <v>23.1</v>
      </c>
      <c r="L75" s="284">
        <v>0</v>
      </c>
      <c r="M75" s="284">
        <f>E75*10%</f>
        <v>11.55</v>
      </c>
      <c r="N75" s="284">
        <f>E75*58%</f>
        <v>66.989999999999995</v>
      </c>
      <c r="O75" s="284">
        <f>E75*23%</f>
        <v>26.565000000000001</v>
      </c>
      <c r="P75" s="284">
        <f>E75*0.9%</f>
        <v>1.0395000000000001</v>
      </c>
      <c r="Q75" s="284">
        <v>57</v>
      </c>
      <c r="R75" s="284">
        <f>C75/1000*57</f>
        <v>8.7780000000000005</v>
      </c>
    </row>
    <row r="76" spans="1:18" ht="18.75" x14ac:dyDescent="0.3">
      <c r="A76" s="33"/>
      <c r="B76" s="283" t="s">
        <v>22</v>
      </c>
      <c r="C76" s="284">
        <v>10</v>
      </c>
      <c r="D76" s="284">
        <v>0</v>
      </c>
      <c r="E76" s="284">
        <f>C76-D76</f>
        <v>10</v>
      </c>
      <c r="F76" s="284">
        <f>E76*0.5%</f>
        <v>0.05</v>
      </c>
      <c r="G76" s="284">
        <f>E76*82.5%</f>
        <v>8.25</v>
      </c>
      <c r="H76" s="284">
        <f>E76*0.8%</f>
        <v>0.08</v>
      </c>
      <c r="I76" s="284">
        <f>E76*748%</f>
        <v>74.800000000000011</v>
      </c>
      <c r="J76" s="284">
        <v>0</v>
      </c>
      <c r="K76" s="284">
        <v>0</v>
      </c>
      <c r="L76" s="284">
        <f>E76*0.59%</f>
        <v>5.8999999999999997E-2</v>
      </c>
      <c r="M76" s="284">
        <f>E76*12%</f>
        <v>1.2</v>
      </c>
      <c r="N76" s="284">
        <f>E76*19%</f>
        <v>1.9</v>
      </c>
      <c r="O76" s="284">
        <f>E76*0.4%</f>
        <v>0.04</v>
      </c>
      <c r="P76" s="284">
        <f>E76*0.2%</f>
        <v>0.02</v>
      </c>
      <c r="Q76" s="284">
        <v>480</v>
      </c>
      <c r="R76" s="4">
        <f>C76/1000*480</f>
        <v>4.8</v>
      </c>
    </row>
    <row r="77" spans="1:18" ht="18.75" x14ac:dyDescent="0.3">
      <c r="A77" s="33"/>
      <c r="B77" s="26" t="s">
        <v>68</v>
      </c>
      <c r="C77" s="4">
        <f t="shared" ref="C77:P77" si="10">SUM(C75:C76)</f>
        <v>164</v>
      </c>
      <c r="D77" s="4">
        <f t="shared" si="10"/>
        <v>38.5</v>
      </c>
      <c r="E77" s="4">
        <f t="shared" si="10"/>
        <v>125.5</v>
      </c>
      <c r="F77" s="4">
        <f t="shared" si="10"/>
        <v>2.36</v>
      </c>
      <c r="G77" s="4">
        <f t="shared" si="10"/>
        <v>8.7119999999999997</v>
      </c>
      <c r="H77" s="4">
        <f t="shared" si="10"/>
        <v>18.906499999999998</v>
      </c>
      <c r="I77" s="4">
        <f t="shared" si="10"/>
        <v>167.20000000000002</v>
      </c>
      <c r="J77" s="4">
        <f t="shared" si="10"/>
        <v>0.1386</v>
      </c>
      <c r="K77" s="4">
        <f t="shared" si="10"/>
        <v>23.1</v>
      </c>
      <c r="L77" s="4">
        <f t="shared" si="10"/>
        <v>5.8999999999999997E-2</v>
      </c>
      <c r="M77" s="4">
        <f t="shared" si="10"/>
        <v>12.75</v>
      </c>
      <c r="N77" s="4">
        <f t="shared" si="10"/>
        <v>68.89</v>
      </c>
      <c r="O77" s="4">
        <f t="shared" si="10"/>
        <v>26.605</v>
      </c>
      <c r="P77" s="4">
        <f t="shared" si="10"/>
        <v>1.0595000000000001</v>
      </c>
      <c r="Q77" s="4"/>
      <c r="R77" s="4">
        <f t="shared" ref="R77" si="11">SUM(R75:R76)</f>
        <v>13.577999999999999</v>
      </c>
    </row>
    <row r="78" spans="1:18" ht="21" x14ac:dyDescent="0.35">
      <c r="A78" s="33"/>
      <c r="B78" s="119" t="s">
        <v>108</v>
      </c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5"/>
    </row>
    <row r="79" spans="1:18" ht="18.75" x14ac:dyDescent="0.3">
      <c r="A79" s="33"/>
      <c r="B79" s="283" t="s">
        <v>73</v>
      </c>
      <c r="C79" s="284">
        <v>90</v>
      </c>
      <c r="D79" s="284">
        <f>C79*25%</f>
        <v>22.5</v>
      </c>
      <c r="E79" s="284">
        <f>C79-D79</f>
        <v>67.5</v>
      </c>
      <c r="F79" s="284">
        <f>E79*18.2%</f>
        <v>12.285</v>
      </c>
      <c r="G79" s="284">
        <f>E79*18.4%</f>
        <v>12.42</v>
      </c>
      <c r="H79" s="284">
        <f>E79*0.7%</f>
        <v>0.47249999999999998</v>
      </c>
      <c r="I79" s="284">
        <f>E79*241%</f>
        <v>162.67500000000001</v>
      </c>
      <c r="J79" s="284">
        <f>E79*0.07%</f>
        <v>4.7250000000000007E-2</v>
      </c>
      <c r="K79" s="284">
        <v>0</v>
      </c>
      <c r="L79" s="284">
        <f>E79*0.07%</f>
        <v>4.7250000000000007E-2</v>
      </c>
      <c r="M79" s="284">
        <f>E79*16%</f>
        <v>10.8</v>
      </c>
      <c r="N79" s="284">
        <f>E79*165%</f>
        <v>111.375</v>
      </c>
      <c r="O79" s="284">
        <f>E79*18%</f>
        <v>12.15</v>
      </c>
      <c r="P79" s="284">
        <f>E79*1.6%</f>
        <v>1.08</v>
      </c>
      <c r="Q79" s="284">
        <v>270</v>
      </c>
      <c r="R79" s="284">
        <f>C79/1000*270</f>
        <v>24.3</v>
      </c>
    </row>
    <row r="80" spans="1:18" ht="18.75" x14ac:dyDescent="0.3">
      <c r="A80" s="33"/>
      <c r="B80" s="27" t="s">
        <v>68</v>
      </c>
      <c r="C80" s="4">
        <f>SUM(C79:C79)</f>
        <v>90</v>
      </c>
      <c r="D80" s="4">
        <f>SUM(D79:D79)</f>
        <v>22.5</v>
      </c>
      <c r="E80" s="4">
        <f>C80-D80</f>
        <v>67.5</v>
      </c>
      <c r="F80" s="4">
        <f t="shared" ref="F80:R80" si="12">SUM(F79:F79)</f>
        <v>12.285</v>
      </c>
      <c r="G80" s="4">
        <f t="shared" si="12"/>
        <v>12.42</v>
      </c>
      <c r="H80" s="4">
        <f t="shared" si="12"/>
        <v>0.47249999999999998</v>
      </c>
      <c r="I80" s="4">
        <f t="shared" si="12"/>
        <v>162.67500000000001</v>
      </c>
      <c r="J80" s="4">
        <f t="shared" si="12"/>
        <v>4.7250000000000007E-2</v>
      </c>
      <c r="K80" s="4">
        <f t="shared" si="12"/>
        <v>0</v>
      </c>
      <c r="L80" s="4">
        <f t="shared" si="12"/>
        <v>4.7250000000000007E-2</v>
      </c>
      <c r="M80" s="4">
        <f t="shared" si="12"/>
        <v>10.8</v>
      </c>
      <c r="N80" s="4">
        <f t="shared" si="12"/>
        <v>111.375</v>
      </c>
      <c r="O80" s="4">
        <f t="shared" si="12"/>
        <v>12.15</v>
      </c>
      <c r="P80" s="4">
        <f t="shared" si="12"/>
        <v>1.08</v>
      </c>
      <c r="Q80" s="4"/>
      <c r="R80" s="4">
        <f t="shared" si="12"/>
        <v>24.3</v>
      </c>
    </row>
    <row r="81" spans="1:18" ht="21" x14ac:dyDescent="0.35">
      <c r="A81" s="33"/>
      <c r="B81" s="160" t="s">
        <v>104</v>
      </c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8"/>
    </row>
    <row r="82" spans="1:18" ht="18.75" x14ac:dyDescent="0.3">
      <c r="A82" s="33"/>
      <c r="B82" s="27" t="s">
        <v>68</v>
      </c>
      <c r="C82" s="4">
        <v>30</v>
      </c>
      <c r="D82" s="4">
        <v>0</v>
      </c>
      <c r="E82" s="4">
        <v>30</v>
      </c>
      <c r="F82" s="4">
        <f>E82*7.9%</f>
        <v>2.37</v>
      </c>
      <c r="G82" s="4">
        <f>E82*1%</f>
        <v>0.3</v>
      </c>
      <c r="H82" s="4">
        <f>E82*48.1%</f>
        <v>14.430000000000001</v>
      </c>
      <c r="I82" s="4">
        <f>E82*239%</f>
        <v>71.7</v>
      </c>
      <c r="J82" s="4">
        <f>E82*0.16%</f>
        <v>4.8000000000000001E-2</v>
      </c>
      <c r="K82" s="4">
        <v>0</v>
      </c>
      <c r="L82" s="4">
        <v>0</v>
      </c>
      <c r="M82" s="4">
        <f>E82*23%</f>
        <v>6.9</v>
      </c>
      <c r="N82" s="4">
        <f>E82*87%</f>
        <v>26.1</v>
      </c>
      <c r="O82" s="4">
        <f>E82*33%</f>
        <v>9.9</v>
      </c>
      <c r="P82" s="4">
        <f>E82*2%</f>
        <v>0.6</v>
      </c>
      <c r="Q82" s="4">
        <v>50</v>
      </c>
      <c r="R82" s="4">
        <f>C82/1000*50</f>
        <v>1.5</v>
      </c>
    </row>
    <row r="83" spans="1:18" ht="18.75" x14ac:dyDescent="0.3">
      <c r="A83" s="30"/>
      <c r="B83" s="136" t="s">
        <v>110</v>
      </c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8"/>
    </row>
    <row r="84" spans="1:18" ht="30" customHeight="1" x14ac:dyDescent="0.3">
      <c r="A84" s="30"/>
      <c r="B84" s="284" t="s">
        <v>66</v>
      </c>
      <c r="C84" s="284">
        <v>15</v>
      </c>
      <c r="D84" s="284">
        <v>0</v>
      </c>
      <c r="E84" s="284">
        <v>15</v>
      </c>
      <c r="F84" s="284">
        <f>E84*5.2%</f>
        <v>0.78</v>
      </c>
      <c r="G84" s="284">
        <v>0</v>
      </c>
      <c r="H84" s="284">
        <f>E84*55%</f>
        <v>8.25</v>
      </c>
      <c r="I84" s="284">
        <f>E84*234%</f>
        <v>35.099999999999994</v>
      </c>
      <c r="J84" s="284">
        <f>E84*0.1%</f>
        <v>1.4999999999999999E-2</v>
      </c>
      <c r="K84" s="284">
        <f>E84*4%</f>
        <v>0.6</v>
      </c>
      <c r="L84" s="284">
        <v>0</v>
      </c>
      <c r="M84" s="284">
        <f>E84*160%</f>
        <v>24</v>
      </c>
      <c r="N84" s="284">
        <f>E84*146%</f>
        <v>21.9</v>
      </c>
      <c r="O84" s="284">
        <f>E84*105%</f>
        <v>15.75</v>
      </c>
      <c r="P84" s="284">
        <f>E84*3.2%</f>
        <v>0.48</v>
      </c>
      <c r="Q84" s="284">
        <v>350</v>
      </c>
      <c r="R84" s="284">
        <f>C84/1000*350</f>
        <v>5.25</v>
      </c>
    </row>
    <row r="85" spans="1:18" ht="18.75" x14ac:dyDescent="0.3">
      <c r="A85" s="30"/>
      <c r="B85" s="284" t="s">
        <v>67</v>
      </c>
      <c r="C85" s="284">
        <v>10</v>
      </c>
      <c r="D85" s="284">
        <v>0</v>
      </c>
      <c r="E85" s="284">
        <v>10</v>
      </c>
      <c r="F85" s="284">
        <v>0</v>
      </c>
      <c r="G85" s="284">
        <v>0</v>
      </c>
      <c r="H85" s="284">
        <f>E85*99.8%</f>
        <v>9.98</v>
      </c>
      <c r="I85" s="284">
        <f>E85*379%</f>
        <v>37.9</v>
      </c>
      <c r="J85" s="284">
        <v>0</v>
      </c>
      <c r="K85" s="284">
        <v>0</v>
      </c>
      <c r="L85" s="284">
        <v>0</v>
      </c>
      <c r="M85" s="284">
        <f>E85*2%</f>
        <v>0.2</v>
      </c>
      <c r="N85" s="284">
        <v>0</v>
      </c>
      <c r="O85" s="284">
        <v>0</v>
      </c>
      <c r="P85" s="284">
        <f>E85*0.3%</f>
        <v>0.03</v>
      </c>
      <c r="Q85" s="284">
        <v>60</v>
      </c>
      <c r="R85" s="284">
        <f>C85/1000*60</f>
        <v>0.6</v>
      </c>
    </row>
    <row r="86" spans="1:18" ht="22.5" customHeight="1" x14ac:dyDescent="0.3">
      <c r="A86" s="30"/>
      <c r="B86" s="27" t="s">
        <v>68</v>
      </c>
      <c r="C86" s="4">
        <v>25</v>
      </c>
      <c r="D86" s="4">
        <f t="shared" ref="D86" si="13">SUM(D84:D85)</f>
        <v>0</v>
      </c>
      <c r="E86" s="4">
        <v>150</v>
      </c>
      <c r="F86" s="4">
        <f t="shared" ref="F86:P86" si="14">SUM(F84:F85)</f>
        <v>0.78</v>
      </c>
      <c r="G86" s="4">
        <f t="shared" si="14"/>
        <v>0</v>
      </c>
      <c r="H86" s="4">
        <f t="shared" si="14"/>
        <v>18.23</v>
      </c>
      <c r="I86" s="4">
        <f t="shared" si="14"/>
        <v>73</v>
      </c>
      <c r="J86" s="4">
        <f t="shared" si="14"/>
        <v>1.4999999999999999E-2</v>
      </c>
      <c r="K86" s="4">
        <f t="shared" si="14"/>
        <v>0.6</v>
      </c>
      <c r="L86" s="4">
        <f t="shared" si="14"/>
        <v>0</v>
      </c>
      <c r="M86" s="4">
        <f t="shared" si="14"/>
        <v>24.2</v>
      </c>
      <c r="N86" s="4">
        <f t="shared" si="14"/>
        <v>21.9</v>
      </c>
      <c r="O86" s="4">
        <f t="shared" si="14"/>
        <v>15.75</v>
      </c>
      <c r="P86" s="4">
        <f t="shared" si="14"/>
        <v>0.51</v>
      </c>
      <c r="Q86" s="4"/>
      <c r="R86" s="4">
        <f>SUM(R84:R85)</f>
        <v>5.85</v>
      </c>
    </row>
    <row r="87" spans="1:18" ht="21" x14ac:dyDescent="0.35">
      <c r="A87" s="33"/>
      <c r="B87" s="160" t="s">
        <v>111</v>
      </c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7"/>
    </row>
    <row r="88" spans="1:18" ht="18.75" x14ac:dyDescent="0.3">
      <c r="A88" s="33"/>
      <c r="B88" s="27" t="s">
        <v>68</v>
      </c>
      <c r="C88" s="4">
        <v>100</v>
      </c>
      <c r="D88" s="4">
        <v>0</v>
      </c>
      <c r="E88" s="4">
        <f>C88-D88</f>
        <v>100</v>
      </c>
      <c r="F88" s="4">
        <f>E88*0.8%</f>
        <v>0.8</v>
      </c>
      <c r="G88" s="4">
        <f>E88*0.3%</f>
        <v>0.3</v>
      </c>
      <c r="H88" s="4">
        <f>E88*8.1%</f>
        <v>8.1</v>
      </c>
      <c r="I88" s="4">
        <f>E88*40%</f>
        <v>40</v>
      </c>
      <c r="J88" s="4">
        <f>E88*0.06%</f>
        <v>0.06</v>
      </c>
      <c r="K88" s="4">
        <f>E88*38%</f>
        <v>38</v>
      </c>
      <c r="L88" s="4">
        <v>0</v>
      </c>
      <c r="M88" s="4">
        <f>E88*35%</f>
        <v>35</v>
      </c>
      <c r="N88" s="4">
        <f>E88*17%</f>
        <v>17</v>
      </c>
      <c r="O88" s="4">
        <f>E88*35%</f>
        <v>35</v>
      </c>
      <c r="P88" s="4">
        <f>E88*0.1%</f>
        <v>0.1</v>
      </c>
      <c r="Q88" s="4">
        <v>120</v>
      </c>
      <c r="R88" s="4">
        <f>C88/1000*120</f>
        <v>12</v>
      </c>
    </row>
    <row r="89" spans="1:18" ht="21" x14ac:dyDescent="0.35">
      <c r="A89" s="33"/>
      <c r="B89" s="165" t="s">
        <v>106</v>
      </c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7"/>
    </row>
    <row r="90" spans="1:18" ht="18.75" x14ac:dyDescent="0.3">
      <c r="A90" s="33"/>
      <c r="B90" s="27" t="s">
        <v>68</v>
      </c>
      <c r="C90" s="23">
        <v>3</v>
      </c>
      <c r="D90" s="4">
        <v>0</v>
      </c>
      <c r="E90" s="23">
        <f>C90-D90</f>
        <v>3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20</v>
      </c>
      <c r="R90" s="23">
        <f>C90/1000*20</f>
        <v>0.06</v>
      </c>
    </row>
    <row r="91" spans="1:18" ht="23.25" x14ac:dyDescent="0.35">
      <c r="A91" s="33"/>
      <c r="B91" s="49" t="s">
        <v>68</v>
      </c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1">
        <f>R73+R77+R80+R82+R86+R88+R90</f>
        <v>60.288000000000004</v>
      </c>
    </row>
    <row r="92" spans="1:18" ht="23.25" x14ac:dyDescent="0.35">
      <c r="A92" s="35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1:18" ht="18.75" customHeight="1" x14ac:dyDescent="0.35">
      <c r="A93" s="35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8" ht="18.75" customHeight="1" x14ac:dyDescent="0.35">
      <c r="A94" s="35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8" ht="18.75" customHeight="1" x14ac:dyDescent="0.35">
      <c r="A95" s="35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8" ht="18.75" customHeight="1" x14ac:dyDescent="0.35">
      <c r="A96" s="35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1:18" ht="18.75" customHeight="1" x14ac:dyDescent="0.35">
      <c r="A97" s="35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1:18" ht="34.5" customHeight="1" x14ac:dyDescent="0.35">
      <c r="A98" s="35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1:18" ht="23.25" x14ac:dyDescent="0.35">
      <c r="A99" s="35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1:18" ht="23.25" x14ac:dyDescent="0.35">
      <c r="A100" s="35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1:18" ht="18.75" x14ac:dyDescent="0.25">
      <c r="A101" s="131"/>
      <c r="B101" s="142" t="s">
        <v>0</v>
      </c>
      <c r="C101" s="133" t="s">
        <v>94</v>
      </c>
      <c r="D101" s="181" t="s">
        <v>20</v>
      </c>
      <c r="E101" s="181" t="s">
        <v>19</v>
      </c>
      <c r="F101" s="139" t="s">
        <v>1</v>
      </c>
      <c r="G101" s="139" t="s">
        <v>2</v>
      </c>
      <c r="H101" s="128" t="s">
        <v>3</v>
      </c>
      <c r="I101" s="139" t="s">
        <v>4</v>
      </c>
      <c r="J101" s="156" t="s">
        <v>5</v>
      </c>
      <c r="K101" s="156"/>
      <c r="L101" s="156"/>
      <c r="M101" s="156" t="s">
        <v>6</v>
      </c>
      <c r="N101" s="156"/>
      <c r="O101" s="156"/>
      <c r="P101" s="156"/>
      <c r="Q101" s="139" t="s">
        <v>65</v>
      </c>
      <c r="R101" s="184" t="s">
        <v>115</v>
      </c>
    </row>
    <row r="102" spans="1:18" x14ac:dyDescent="0.25">
      <c r="A102" s="132"/>
      <c r="B102" s="142"/>
      <c r="C102" s="134"/>
      <c r="D102" s="182"/>
      <c r="E102" s="182"/>
      <c r="F102" s="140"/>
      <c r="G102" s="140"/>
      <c r="H102" s="129"/>
      <c r="I102" s="140"/>
      <c r="J102" s="139" t="s">
        <v>7</v>
      </c>
      <c r="K102" s="181" t="s">
        <v>8</v>
      </c>
      <c r="L102" s="139" t="s">
        <v>9</v>
      </c>
      <c r="M102" s="139" t="s">
        <v>10</v>
      </c>
      <c r="N102" s="139" t="s">
        <v>11</v>
      </c>
      <c r="O102" s="139" t="s">
        <v>12</v>
      </c>
      <c r="P102" s="139" t="s">
        <v>13</v>
      </c>
      <c r="Q102" s="140"/>
      <c r="R102" s="185"/>
    </row>
    <row r="103" spans="1:18" ht="18.75" x14ac:dyDescent="0.3">
      <c r="A103" s="44"/>
      <c r="B103" s="42" t="s">
        <v>79</v>
      </c>
      <c r="C103" s="135"/>
      <c r="D103" s="183"/>
      <c r="E103" s="183"/>
      <c r="F103" s="141"/>
      <c r="G103" s="141"/>
      <c r="H103" s="130"/>
      <c r="I103" s="141"/>
      <c r="J103" s="141"/>
      <c r="K103" s="183"/>
      <c r="L103" s="141"/>
      <c r="M103" s="141"/>
      <c r="N103" s="141"/>
      <c r="O103" s="141"/>
      <c r="P103" s="141"/>
      <c r="Q103" s="141"/>
      <c r="R103" s="186"/>
    </row>
    <row r="104" spans="1:18" s="80" customFormat="1" ht="21" x14ac:dyDescent="0.35">
      <c r="A104" s="79"/>
      <c r="B104" s="211" t="s">
        <v>121</v>
      </c>
      <c r="C104" s="212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2"/>
      <c r="P104" s="212"/>
      <c r="Q104" s="212"/>
      <c r="R104" s="213"/>
    </row>
    <row r="105" spans="1:18" s="59" customFormat="1" ht="22.5" customHeight="1" x14ac:dyDescent="0.3">
      <c r="A105" s="22"/>
      <c r="B105" s="285" t="s">
        <v>135</v>
      </c>
      <c r="C105" s="286">
        <v>63</v>
      </c>
      <c r="D105" s="286"/>
      <c r="E105" s="286">
        <f>SUM(C105-D105)</f>
        <v>63</v>
      </c>
      <c r="F105" s="286">
        <f>E105*18.6%</f>
        <v>11.718000000000002</v>
      </c>
      <c r="G105" s="286">
        <f>E105*16%</f>
        <v>10.08</v>
      </c>
      <c r="H105" s="286">
        <v>0</v>
      </c>
      <c r="I105" s="286">
        <f>E105*218%</f>
        <v>137.34</v>
      </c>
      <c r="J105" s="286">
        <f>E105*0.06%</f>
        <v>3.7799999999999993E-2</v>
      </c>
      <c r="K105" s="286">
        <v>0</v>
      </c>
      <c r="L105" s="286">
        <v>0</v>
      </c>
      <c r="M105" s="286">
        <f>E105*9%</f>
        <v>5.67</v>
      </c>
      <c r="N105" s="286">
        <f>E105*188%</f>
        <v>118.44</v>
      </c>
      <c r="O105" s="286">
        <f>E105*22%</f>
        <v>13.86</v>
      </c>
      <c r="P105" s="286">
        <f>E105*2.7%</f>
        <v>1.7010000000000003</v>
      </c>
      <c r="Q105" s="286">
        <v>500</v>
      </c>
      <c r="R105" s="286">
        <f>C105/1000*500</f>
        <v>31.5</v>
      </c>
    </row>
    <row r="106" spans="1:18" ht="18.75" x14ac:dyDescent="0.3">
      <c r="A106" s="33"/>
      <c r="B106" s="285" t="s">
        <v>71</v>
      </c>
      <c r="C106" s="286">
        <v>50</v>
      </c>
      <c r="D106" s="286">
        <f>C106*0.25</f>
        <v>12.5</v>
      </c>
      <c r="E106" s="286">
        <f>C106-D106</f>
        <v>37.5</v>
      </c>
      <c r="F106" s="286">
        <f>E106*2%</f>
        <v>0.75</v>
      </c>
      <c r="G106" s="286">
        <f>E106*0.4%</f>
        <v>0.15</v>
      </c>
      <c r="H106" s="286">
        <f>E106*16.3%</f>
        <v>6.1124999999999998</v>
      </c>
      <c r="I106" s="286">
        <f>E106*80%</f>
        <v>30</v>
      </c>
      <c r="J106" s="286">
        <f>E106*0.12%</f>
        <v>4.4999999999999998E-2</v>
      </c>
      <c r="K106" s="286">
        <f>E106*20%</f>
        <v>7.5</v>
      </c>
      <c r="L106" s="286">
        <v>0</v>
      </c>
      <c r="M106" s="286">
        <f>E106*10%</f>
        <v>3.75</v>
      </c>
      <c r="N106" s="286">
        <f>E106*58%</f>
        <v>21.75</v>
      </c>
      <c r="O106" s="286">
        <f>E106*23%</f>
        <v>8.625</v>
      </c>
      <c r="P106" s="286">
        <f>E106*0.9%</f>
        <v>0.33750000000000002</v>
      </c>
      <c r="Q106" s="286">
        <v>57</v>
      </c>
      <c r="R106" s="286">
        <f>C106/1000*57</f>
        <v>2.85</v>
      </c>
    </row>
    <row r="107" spans="1:18" ht="18.75" x14ac:dyDescent="0.3">
      <c r="A107" s="22"/>
      <c r="B107" s="285" t="s">
        <v>15</v>
      </c>
      <c r="C107" s="286">
        <v>20</v>
      </c>
      <c r="D107" s="286">
        <v>5</v>
      </c>
      <c r="E107" s="286">
        <f>C107-D107</f>
        <v>15</v>
      </c>
      <c r="F107" s="286">
        <f>E107*1.3%</f>
        <v>0.19500000000000001</v>
      </c>
      <c r="G107" s="286">
        <f>E385*0.1%</f>
        <v>0</v>
      </c>
      <c r="H107" s="286">
        <f>E107*7.2%</f>
        <v>1.08</v>
      </c>
      <c r="I107" s="286">
        <f>E107*30%</f>
        <v>4.5</v>
      </c>
      <c r="J107" s="286">
        <f>E107*0.06%</f>
        <v>8.9999999999999993E-3</v>
      </c>
      <c r="K107" s="286">
        <f>E107*5%</f>
        <v>0.75</v>
      </c>
      <c r="L107" s="286">
        <v>0</v>
      </c>
      <c r="M107" s="286">
        <f>E107*51%</f>
        <v>7.65</v>
      </c>
      <c r="N107" s="286">
        <f>E107*55%</f>
        <v>8.25</v>
      </c>
      <c r="O107" s="286">
        <f>E107*38%</f>
        <v>5.7</v>
      </c>
      <c r="P107" s="286">
        <f>E107*0.7%</f>
        <v>0.10499999999999998</v>
      </c>
      <c r="Q107" s="286">
        <v>60</v>
      </c>
      <c r="R107" s="286">
        <f>C107/1000*60</f>
        <v>1.2</v>
      </c>
    </row>
    <row r="108" spans="1:18" ht="18.75" x14ac:dyDescent="0.3">
      <c r="A108" s="30"/>
      <c r="B108" s="285" t="s">
        <v>89</v>
      </c>
      <c r="C108" s="286">
        <v>15</v>
      </c>
      <c r="D108" s="286">
        <v>0</v>
      </c>
      <c r="E108" s="286">
        <f>C108-D108</f>
        <v>15</v>
      </c>
      <c r="F108" s="286">
        <f>E108*2%</f>
        <v>0.3</v>
      </c>
      <c r="G108" s="286">
        <f>E108*0.4%</f>
        <v>0.06</v>
      </c>
      <c r="H108" s="286">
        <f>E108*16.3%</f>
        <v>2.4450000000000003</v>
      </c>
      <c r="I108" s="286">
        <f>E108*80%</f>
        <v>12</v>
      </c>
      <c r="J108" s="286">
        <f>E108*0.12%</f>
        <v>1.7999999999999999E-2</v>
      </c>
      <c r="K108" s="286">
        <f>E108*20%</f>
        <v>3</v>
      </c>
      <c r="L108" s="286">
        <v>0</v>
      </c>
      <c r="M108" s="286">
        <f>E108*10%</f>
        <v>1.5</v>
      </c>
      <c r="N108" s="286">
        <f>E108*58%</f>
        <v>8.6999999999999993</v>
      </c>
      <c r="O108" s="286">
        <f>E108*23%</f>
        <v>3.45</v>
      </c>
      <c r="P108" s="286">
        <f>E108*0.9%</f>
        <v>0.13500000000000001</v>
      </c>
      <c r="Q108" s="286">
        <v>75</v>
      </c>
      <c r="R108" s="286">
        <f>C108/1000*75</f>
        <v>1.125</v>
      </c>
    </row>
    <row r="109" spans="1:18" ht="18.75" x14ac:dyDescent="0.3">
      <c r="A109" s="22"/>
      <c r="B109" s="285" t="s">
        <v>72</v>
      </c>
      <c r="C109" s="286">
        <v>20</v>
      </c>
      <c r="D109" s="286">
        <f>C109*0.16</f>
        <v>3.2</v>
      </c>
      <c r="E109" s="286">
        <f>C109-D109</f>
        <v>16.8</v>
      </c>
      <c r="F109" s="286">
        <f>E109*1.4%</f>
        <v>0.23519999999999999</v>
      </c>
      <c r="G109" s="287">
        <v>0</v>
      </c>
      <c r="H109" s="286">
        <f>E109*9.1%</f>
        <v>1.5287999999999999</v>
      </c>
      <c r="I109" s="286">
        <f>E109*41%</f>
        <v>6.8879999999999999</v>
      </c>
      <c r="J109" s="286">
        <f>E109*0.05%</f>
        <v>8.4000000000000012E-3</v>
      </c>
      <c r="K109" s="286">
        <f>E109*10%</f>
        <v>1.6800000000000002</v>
      </c>
      <c r="L109" s="286">
        <v>0</v>
      </c>
      <c r="M109" s="286">
        <f>E109*31%</f>
        <v>5.2080000000000002</v>
      </c>
      <c r="N109" s="286">
        <f>E109*58%</f>
        <v>9.7439999999999998</v>
      </c>
      <c r="O109" s="286">
        <f>E109*14%</f>
        <v>2.3520000000000003</v>
      </c>
      <c r="P109" s="286">
        <f>E109*0.8%</f>
        <v>0.13440000000000002</v>
      </c>
      <c r="Q109" s="286">
        <v>40</v>
      </c>
      <c r="R109" s="286">
        <f>C109/1000*40</f>
        <v>0.8</v>
      </c>
    </row>
    <row r="110" spans="1:18" x14ac:dyDescent="0.25">
      <c r="A110" s="57"/>
      <c r="B110" s="288" t="s">
        <v>25</v>
      </c>
      <c r="C110" s="288">
        <v>3</v>
      </c>
      <c r="D110" s="288">
        <v>0</v>
      </c>
      <c r="E110" s="288">
        <f>SUM(C110:D110)</f>
        <v>3</v>
      </c>
      <c r="F110" s="288">
        <f>E110*1%</f>
        <v>0.03</v>
      </c>
      <c r="G110" s="288">
        <v>0</v>
      </c>
      <c r="H110" s="288">
        <f>E110*3.5%</f>
        <v>0.10500000000000001</v>
      </c>
      <c r="I110" s="288">
        <f>E110*19%</f>
        <v>0.57000000000000006</v>
      </c>
      <c r="J110" s="288">
        <f>E110*0.03%</f>
        <v>8.9999999999999998E-4</v>
      </c>
      <c r="K110" s="288">
        <f>E110*10%</f>
        <v>0.30000000000000004</v>
      </c>
      <c r="L110" s="288">
        <v>0</v>
      </c>
      <c r="M110" s="288">
        <f>C110*7%</f>
        <v>0.21000000000000002</v>
      </c>
      <c r="N110" s="288">
        <f>E110*32%</f>
        <v>0.96</v>
      </c>
      <c r="O110" s="288">
        <f>E110*12%</f>
        <v>0.36</v>
      </c>
      <c r="P110" s="288">
        <f>E110*0.7%</f>
        <v>2.0999999999999998E-2</v>
      </c>
      <c r="Q110" s="288">
        <v>150</v>
      </c>
      <c r="R110" s="288">
        <f>C110/1000*150</f>
        <v>0.45</v>
      </c>
    </row>
    <row r="111" spans="1:18" ht="18.75" x14ac:dyDescent="0.3">
      <c r="A111" s="22"/>
      <c r="B111" s="285" t="s">
        <v>24</v>
      </c>
      <c r="C111" s="286">
        <v>5</v>
      </c>
      <c r="D111" s="286">
        <v>0</v>
      </c>
      <c r="E111" s="286">
        <f>SUM(C111:D111)</f>
        <v>5</v>
      </c>
      <c r="F111" s="286">
        <v>0</v>
      </c>
      <c r="G111" s="289">
        <f>E111*0.999</f>
        <v>4.9950000000000001</v>
      </c>
      <c r="H111" s="286">
        <v>0</v>
      </c>
      <c r="I111" s="286">
        <f>E111*8.99%</f>
        <v>0.44950000000000001</v>
      </c>
      <c r="J111" s="286">
        <f>E111*0.06%</f>
        <v>2.9999999999999996E-3</v>
      </c>
      <c r="K111" s="286">
        <v>0</v>
      </c>
      <c r="L111" s="286">
        <v>0</v>
      </c>
      <c r="M111" s="286">
        <v>0</v>
      </c>
      <c r="N111" s="286">
        <v>0</v>
      </c>
      <c r="O111" s="286">
        <v>0</v>
      </c>
      <c r="P111" s="286">
        <v>0</v>
      </c>
      <c r="Q111" s="286">
        <v>150</v>
      </c>
      <c r="R111" s="286">
        <f>C111/1000*150</f>
        <v>0.75</v>
      </c>
    </row>
    <row r="112" spans="1:18" ht="18.75" x14ac:dyDescent="0.3">
      <c r="A112" s="30"/>
      <c r="B112" s="27" t="s">
        <v>68</v>
      </c>
      <c r="C112" s="4">
        <f t="shared" ref="C112:P112" si="15">SUM(C105:C111)</f>
        <v>176</v>
      </c>
      <c r="D112" s="4">
        <f t="shared" si="15"/>
        <v>20.7</v>
      </c>
      <c r="E112" s="4">
        <v>250</v>
      </c>
      <c r="F112" s="4">
        <f t="shared" si="15"/>
        <v>13.228200000000003</v>
      </c>
      <c r="G112" s="4">
        <f t="shared" si="15"/>
        <v>15.285</v>
      </c>
      <c r="H112" s="4">
        <f t="shared" si="15"/>
        <v>11.2713</v>
      </c>
      <c r="I112" s="4">
        <f t="shared" si="15"/>
        <v>191.7475</v>
      </c>
      <c r="J112" s="4">
        <f t="shared" si="15"/>
        <v>0.12209999999999999</v>
      </c>
      <c r="K112" s="4">
        <f t="shared" si="15"/>
        <v>13.23</v>
      </c>
      <c r="L112" s="4">
        <f t="shared" si="15"/>
        <v>0</v>
      </c>
      <c r="M112" s="4">
        <f t="shared" si="15"/>
        <v>23.988</v>
      </c>
      <c r="N112" s="4">
        <f t="shared" si="15"/>
        <v>167.84399999999999</v>
      </c>
      <c r="O112" s="4">
        <f t="shared" si="15"/>
        <v>34.346999999999994</v>
      </c>
      <c r="P112" s="4">
        <f t="shared" si="15"/>
        <v>2.4339</v>
      </c>
      <c r="Q112" s="4"/>
      <c r="R112" s="4">
        <f>SUM(R105:R111)</f>
        <v>38.675000000000004</v>
      </c>
    </row>
    <row r="113" spans="1:18" s="82" customFormat="1" ht="21" x14ac:dyDescent="0.35">
      <c r="A113" s="81"/>
      <c r="B113" s="165" t="s">
        <v>130</v>
      </c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  <c r="N113" s="168"/>
      <c r="O113" s="168"/>
      <c r="P113" s="168"/>
      <c r="Q113" s="168"/>
      <c r="R113" s="169"/>
    </row>
    <row r="114" spans="1:18" ht="18.75" x14ac:dyDescent="0.3">
      <c r="A114" s="33"/>
      <c r="B114" s="279" t="s">
        <v>15</v>
      </c>
      <c r="C114" s="286">
        <v>15</v>
      </c>
      <c r="D114" s="286">
        <f>C114*0.2</f>
        <v>3</v>
      </c>
      <c r="E114" s="286">
        <f>C114-D114</f>
        <v>12</v>
      </c>
      <c r="F114" s="286">
        <f>E114*1.3%</f>
        <v>0.15600000000000003</v>
      </c>
      <c r="G114" s="289">
        <f>E114*0.001</f>
        <v>1.2E-2</v>
      </c>
      <c r="H114" s="286">
        <f>E114*0.072</f>
        <v>0.86399999999999988</v>
      </c>
      <c r="I114" s="286">
        <f>E114*0.3</f>
        <v>3.5999999999999996</v>
      </c>
      <c r="J114" s="286">
        <f>E114*0.06%</f>
        <v>7.1999999999999998E-3</v>
      </c>
      <c r="K114" s="286">
        <f>E114*5%</f>
        <v>0.60000000000000009</v>
      </c>
      <c r="L114" s="286">
        <v>0</v>
      </c>
      <c r="M114" s="286">
        <f>E114*51%</f>
        <v>6.12</v>
      </c>
      <c r="N114" s="286">
        <f>E114*55%</f>
        <v>6.6000000000000005</v>
      </c>
      <c r="O114" s="286">
        <f>E114*38%</f>
        <v>4.5600000000000005</v>
      </c>
      <c r="P114" s="286">
        <f>E114*0.7%</f>
        <v>8.3999999999999991E-2</v>
      </c>
      <c r="Q114" s="286">
        <v>60</v>
      </c>
      <c r="R114" s="285">
        <f>C114/1000*60</f>
        <v>0.89999999999999991</v>
      </c>
    </row>
    <row r="115" spans="1:18" s="64" customFormat="1" ht="15.75" customHeight="1" x14ac:dyDescent="0.25">
      <c r="A115" s="74"/>
      <c r="B115" s="279" t="s">
        <v>76</v>
      </c>
      <c r="C115" s="290">
        <v>5</v>
      </c>
      <c r="D115" s="290">
        <v>0</v>
      </c>
      <c r="E115" s="290">
        <f>C115-D115</f>
        <v>5</v>
      </c>
      <c r="F115" s="290">
        <v>0</v>
      </c>
      <c r="G115" s="291">
        <f>E115*0.999</f>
        <v>4.9950000000000001</v>
      </c>
      <c r="H115" s="290">
        <v>0</v>
      </c>
      <c r="I115" s="290">
        <f>E115*8.99</f>
        <v>44.95</v>
      </c>
      <c r="J115" s="290">
        <f>E115*0.06%</f>
        <v>2.9999999999999996E-3</v>
      </c>
      <c r="K115" s="290">
        <v>0</v>
      </c>
      <c r="L115" s="290">
        <v>0</v>
      </c>
      <c r="M115" s="290">
        <v>0</v>
      </c>
      <c r="N115" s="290">
        <v>0</v>
      </c>
      <c r="O115" s="290">
        <v>0</v>
      </c>
      <c r="P115" s="290">
        <v>0</v>
      </c>
      <c r="Q115" s="290">
        <v>180</v>
      </c>
      <c r="R115" s="290">
        <f>C115/1000*180</f>
        <v>0.9</v>
      </c>
    </row>
    <row r="116" spans="1:18" ht="18.75" x14ac:dyDescent="0.3">
      <c r="A116" s="33"/>
      <c r="B116" s="279" t="s">
        <v>16</v>
      </c>
      <c r="C116" s="286">
        <v>24</v>
      </c>
      <c r="D116" s="286">
        <f>C116*0.2</f>
        <v>4.8000000000000007</v>
      </c>
      <c r="E116" s="286">
        <f>C116-D116</f>
        <v>19.2</v>
      </c>
      <c r="F116" s="286">
        <f>E116*0.018</f>
        <v>0.34559999999999996</v>
      </c>
      <c r="G116" s="289">
        <f>E116*0.001</f>
        <v>1.9199999999999998E-2</v>
      </c>
      <c r="H116" s="286">
        <f>E116*0.047</f>
        <v>0.90239999999999998</v>
      </c>
      <c r="I116" s="286">
        <f>E116*0.27</f>
        <v>5.1840000000000002</v>
      </c>
      <c r="J116" s="286">
        <f>E116*0.03%</f>
        <v>5.7599999999999995E-3</v>
      </c>
      <c r="K116" s="286">
        <f>E116*45%</f>
        <v>8.64</v>
      </c>
      <c r="L116" s="286">
        <v>0</v>
      </c>
      <c r="M116" s="286">
        <f>E116*48%</f>
        <v>9.2159999999999993</v>
      </c>
      <c r="N116" s="286">
        <f>E116*31%</f>
        <v>5.952</v>
      </c>
      <c r="O116" s="286">
        <f>E116*16%</f>
        <v>3.0720000000000001</v>
      </c>
      <c r="P116" s="286">
        <f>E116*0.6%</f>
        <v>0.1152</v>
      </c>
      <c r="Q116" s="286">
        <v>30</v>
      </c>
      <c r="R116" s="285">
        <f>C116/1000*30</f>
        <v>0.72</v>
      </c>
    </row>
    <row r="117" spans="1:18" ht="18.75" x14ac:dyDescent="0.3">
      <c r="A117" s="33"/>
      <c r="B117" s="279" t="s">
        <v>17</v>
      </c>
      <c r="C117" s="286">
        <v>4</v>
      </c>
      <c r="D117" s="286">
        <v>0</v>
      </c>
      <c r="E117" s="286">
        <v>3</v>
      </c>
      <c r="F117" s="286">
        <v>0</v>
      </c>
      <c r="G117" s="289">
        <f>E117*0.999</f>
        <v>2.9969999999999999</v>
      </c>
      <c r="H117" s="286">
        <v>0</v>
      </c>
      <c r="I117" s="286">
        <f>E117*8.99%</f>
        <v>0.26970000000000005</v>
      </c>
      <c r="J117" s="286">
        <f>E117*0.06%</f>
        <v>1.8E-3</v>
      </c>
      <c r="K117" s="286">
        <v>0</v>
      </c>
      <c r="L117" s="286">
        <v>0</v>
      </c>
      <c r="M117" s="286">
        <v>0</v>
      </c>
      <c r="N117" s="286">
        <v>0</v>
      </c>
      <c r="O117" s="286">
        <v>0</v>
      </c>
      <c r="P117" s="286">
        <v>0</v>
      </c>
      <c r="Q117" s="286">
        <v>150</v>
      </c>
      <c r="R117" s="285">
        <f>C117/1000*150</f>
        <v>0.6</v>
      </c>
    </row>
    <row r="118" spans="1:18" ht="18.75" x14ac:dyDescent="0.3">
      <c r="A118" s="33"/>
      <c r="B118" s="26" t="s">
        <v>68</v>
      </c>
      <c r="C118" s="3">
        <f>SUM(C114:C117)</f>
        <v>48</v>
      </c>
      <c r="D118" s="3">
        <f t="shared" ref="D118:P118" si="16">SUM(D114:D117)</f>
        <v>7.8000000000000007</v>
      </c>
      <c r="E118" s="3">
        <f t="shared" si="16"/>
        <v>39.200000000000003</v>
      </c>
      <c r="F118" s="3">
        <f t="shared" si="16"/>
        <v>0.50160000000000005</v>
      </c>
      <c r="G118" s="3">
        <f t="shared" si="16"/>
        <v>8.0231999999999992</v>
      </c>
      <c r="H118" s="3">
        <f t="shared" si="16"/>
        <v>1.7664</v>
      </c>
      <c r="I118" s="3">
        <f t="shared" si="16"/>
        <v>54.003700000000002</v>
      </c>
      <c r="J118" s="3">
        <f t="shared" si="16"/>
        <v>1.7759999999999998E-2</v>
      </c>
      <c r="K118" s="3">
        <f t="shared" si="16"/>
        <v>9.24</v>
      </c>
      <c r="L118" s="3">
        <f t="shared" si="16"/>
        <v>0</v>
      </c>
      <c r="M118" s="3">
        <f t="shared" si="16"/>
        <v>15.335999999999999</v>
      </c>
      <c r="N118" s="3">
        <f t="shared" si="16"/>
        <v>12.552</v>
      </c>
      <c r="O118" s="3">
        <f t="shared" si="16"/>
        <v>7.6320000000000006</v>
      </c>
      <c r="P118" s="3">
        <f t="shared" si="16"/>
        <v>0.19919999999999999</v>
      </c>
      <c r="Q118" s="3"/>
      <c r="R118" s="3">
        <f>SUM(R114:R117)</f>
        <v>3.1199999999999997</v>
      </c>
    </row>
    <row r="119" spans="1:18" s="80" customFormat="1" ht="21" x14ac:dyDescent="0.35">
      <c r="A119" s="79"/>
      <c r="B119" s="230" t="s">
        <v>104</v>
      </c>
      <c r="C119" s="231"/>
      <c r="D119" s="231"/>
      <c r="E119" s="231"/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2"/>
    </row>
    <row r="120" spans="1:18" ht="18.75" x14ac:dyDescent="0.3">
      <c r="A120" s="33"/>
      <c r="B120" s="27" t="s">
        <v>68</v>
      </c>
      <c r="C120" s="4">
        <v>50</v>
      </c>
      <c r="D120" s="4">
        <v>0</v>
      </c>
      <c r="E120" s="4">
        <f>C120-D120</f>
        <v>50</v>
      </c>
      <c r="F120" s="4">
        <f>E120*7.9%</f>
        <v>3.95</v>
      </c>
      <c r="G120" s="4">
        <f>E120*1%</f>
        <v>0.5</v>
      </c>
      <c r="H120" s="4">
        <f>E120*48.1%</f>
        <v>24.05</v>
      </c>
      <c r="I120" s="4">
        <f>E120*239%</f>
        <v>119.5</v>
      </c>
      <c r="J120" s="4">
        <f>E120*0.16%</f>
        <v>0.08</v>
      </c>
      <c r="K120" s="4">
        <v>0</v>
      </c>
      <c r="L120" s="4">
        <v>0</v>
      </c>
      <c r="M120" s="4">
        <f>E120*23%</f>
        <v>11.5</v>
      </c>
      <c r="N120" s="4">
        <f>E120*87%</f>
        <v>43.5</v>
      </c>
      <c r="O120" s="4">
        <f>E120*33%</f>
        <v>16.5</v>
      </c>
      <c r="P120" s="4">
        <f>E120*2%</f>
        <v>1</v>
      </c>
      <c r="Q120" s="4">
        <v>50</v>
      </c>
      <c r="R120" s="4">
        <f>C120/1000*50</f>
        <v>2.5</v>
      </c>
    </row>
    <row r="121" spans="1:18" s="80" customFormat="1" ht="21" x14ac:dyDescent="0.35">
      <c r="A121" s="79"/>
      <c r="B121" s="230" t="s">
        <v>105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2"/>
    </row>
    <row r="122" spans="1:18" ht="18.75" x14ac:dyDescent="0.3">
      <c r="A122" s="30"/>
      <c r="B122" s="284" t="s">
        <v>51</v>
      </c>
      <c r="C122" s="284">
        <v>1</v>
      </c>
      <c r="D122" s="284">
        <v>0</v>
      </c>
      <c r="E122" s="284">
        <f>C122-D122</f>
        <v>1</v>
      </c>
      <c r="F122" s="284">
        <f>E122*21.74%</f>
        <v>0.21739999999999998</v>
      </c>
      <c r="G122" s="284">
        <f>E122*7.61%</f>
        <v>7.6100000000000001E-2</v>
      </c>
      <c r="H122" s="284">
        <f>E122*2.86%</f>
        <v>2.86E-2</v>
      </c>
      <c r="I122" s="284">
        <f>E122*9.18%</f>
        <v>9.1799999999999993E-2</v>
      </c>
      <c r="J122" s="284">
        <f>E122*4.7%</f>
        <v>4.7E-2</v>
      </c>
      <c r="K122" s="284">
        <f>E122*11%</f>
        <v>0.11</v>
      </c>
      <c r="L122" s="284">
        <f>E122*5.6%</f>
        <v>5.5999999999999994E-2</v>
      </c>
      <c r="M122" s="284">
        <f>E122*50%</f>
        <v>0.5</v>
      </c>
      <c r="N122" s="284">
        <f>E122*10%</f>
        <v>0.1</v>
      </c>
      <c r="O122" s="284">
        <f>E122*110%</f>
        <v>1.1000000000000001</v>
      </c>
      <c r="P122" s="284">
        <f>E122*456%</f>
        <v>4.5599999999999996</v>
      </c>
      <c r="Q122" s="284">
        <v>950</v>
      </c>
      <c r="R122" s="284">
        <f>C122/1000*950</f>
        <v>0.95000000000000007</v>
      </c>
    </row>
    <row r="123" spans="1:18" ht="18.75" x14ac:dyDescent="0.3">
      <c r="A123" s="33"/>
      <c r="B123" s="284" t="s">
        <v>67</v>
      </c>
      <c r="C123" s="284">
        <v>15</v>
      </c>
      <c r="D123" s="284">
        <v>0</v>
      </c>
      <c r="E123" s="284">
        <v>15</v>
      </c>
      <c r="F123" s="284">
        <v>0</v>
      </c>
      <c r="G123" s="284">
        <v>0</v>
      </c>
      <c r="H123" s="284">
        <f>E123*99.8%</f>
        <v>14.97</v>
      </c>
      <c r="I123" s="284">
        <f>E123*379%</f>
        <v>56.85</v>
      </c>
      <c r="J123" s="284">
        <v>0</v>
      </c>
      <c r="K123" s="284">
        <v>0</v>
      </c>
      <c r="L123" s="284">
        <v>0</v>
      </c>
      <c r="M123" s="284">
        <f>E123*2%</f>
        <v>0.3</v>
      </c>
      <c r="N123" s="284">
        <v>0</v>
      </c>
      <c r="O123" s="284">
        <v>0</v>
      </c>
      <c r="P123" s="284">
        <f>E123*0.3%</f>
        <v>4.4999999999999998E-2</v>
      </c>
      <c r="Q123" s="284">
        <v>60</v>
      </c>
      <c r="R123" s="284">
        <f>C123/1000*60</f>
        <v>0.89999999999999991</v>
      </c>
    </row>
    <row r="124" spans="1:18" ht="18.75" x14ac:dyDescent="0.3">
      <c r="A124" s="33"/>
      <c r="B124" s="27" t="s">
        <v>68</v>
      </c>
      <c r="C124" s="4">
        <f>SUM(C122:C123)</f>
        <v>16</v>
      </c>
      <c r="D124" s="4">
        <f>SUM(D123:D123)</f>
        <v>0</v>
      </c>
      <c r="E124" s="4">
        <v>150</v>
      </c>
      <c r="F124" s="4">
        <f t="shared" ref="F124:P124" si="17">SUM(F123:F123)</f>
        <v>0</v>
      </c>
      <c r="G124" s="4">
        <f t="shared" si="17"/>
        <v>0</v>
      </c>
      <c r="H124" s="4">
        <f t="shared" si="17"/>
        <v>14.97</v>
      </c>
      <c r="I124" s="4">
        <f t="shared" si="17"/>
        <v>56.85</v>
      </c>
      <c r="J124" s="4">
        <f t="shared" si="17"/>
        <v>0</v>
      </c>
      <c r="K124" s="4">
        <f t="shared" si="17"/>
        <v>0</v>
      </c>
      <c r="L124" s="4">
        <f t="shared" si="17"/>
        <v>0</v>
      </c>
      <c r="M124" s="4">
        <f t="shared" si="17"/>
        <v>0.3</v>
      </c>
      <c r="N124" s="4">
        <f t="shared" si="17"/>
        <v>0</v>
      </c>
      <c r="O124" s="4">
        <f t="shared" si="17"/>
        <v>0</v>
      </c>
      <c r="P124" s="4">
        <f t="shared" si="17"/>
        <v>4.4999999999999998E-2</v>
      </c>
      <c r="Q124" s="4"/>
      <c r="R124" s="4">
        <f>SUM(R122:R123)</f>
        <v>1.85</v>
      </c>
    </row>
    <row r="125" spans="1:18" s="80" customFormat="1" ht="24.75" customHeight="1" x14ac:dyDescent="0.35">
      <c r="A125" s="88"/>
      <c r="B125" s="160" t="s">
        <v>120</v>
      </c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4"/>
    </row>
    <row r="126" spans="1:18" ht="18.75" x14ac:dyDescent="0.3">
      <c r="A126" s="30"/>
      <c r="B126" s="27" t="s">
        <v>68</v>
      </c>
      <c r="C126" s="4">
        <v>100</v>
      </c>
      <c r="D126" s="4">
        <v>0</v>
      </c>
      <c r="E126" s="4">
        <f>C126-D126</f>
        <v>100</v>
      </c>
      <c r="F126" s="4">
        <f>E126*1.5%</f>
        <v>1.5</v>
      </c>
      <c r="G126" s="4">
        <f>E126*0.5%</f>
        <v>0.5</v>
      </c>
      <c r="H126" s="4">
        <f>E126*21%</f>
        <v>21</v>
      </c>
      <c r="I126" s="4">
        <f>E126*96%</f>
        <v>96</v>
      </c>
      <c r="J126" s="4">
        <v>0</v>
      </c>
      <c r="K126" s="4">
        <v>8.6999999999999993</v>
      </c>
      <c r="L126" s="4">
        <v>3</v>
      </c>
      <c r="M126" s="4">
        <v>5</v>
      </c>
      <c r="N126" s="4">
        <v>22</v>
      </c>
      <c r="O126" s="4">
        <v>27</v>
      </c>
      <c r="P126" s="4">
        <v>0.3</v>
      </c>
      <c r="Q126" s="4">
        <v>150</v>
      </c>
      <c r="R126" s="4">
        <f>C126/1000*150</f>
        <v>15</v>
      </c>
    </row>
    <row r="127" spans="1:18" s="80" customFormat="1" ht="21" x14ac:dyDescent="0.35">
      <c r="A127" s="79"/>
      <c r="B127" s="208" t="s">
        <v>106</v>
      </c>
      <c r="C127" s="209"/>
      <c r="D127" s="209"/>
      <c r="E127" s="209"/>
      <c r="F127" s="209"/>
      <c r="G127" s="209"/>
      <c r="H127" s="209"/>
      <c r="I127" s="209"/>
      <c r="J127" s="209"/>
      <c r="K127" s="209"/>
      <c r="L127" s="209"/>
      <c r="M127" s="209"/>
      <c r="N127" s="209"/>
      <c r="O127" s="209"/>
      <c r="P127" s="209"/>
      <c r="Q127" s="209"/>
      <c r="R127" s="210"/>
    </row>
    <row r="128" spans="1:18" ht="18.75" x14ac:dyDescent="0.3">
      <c r="A128" s="33"/>
      <c r="B128" s="27" t="s">
        <v>68</v>
      </c>
      <c r="C128" s="23">
        <v>3</v>
      </c>
      <c r="D128" s="4">
        <v>0</v>
      </c>
      <c r="E128" s="23">
        <f>C128-D128</f>
        <v>3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20</v>
      </c>
      <c r="R128" s="23">
        <f>C128/1000*20</f>
        <v>0.06</v>
      </c>
    </row>
    <row r="129" spans="1:18" ht="23.25" x14ac:dyDescent="0.35">
      <c r="A129" s="33"/>
      <c r="B129" s="21" t="s">
        <v>68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>
        <f>R128+R126+R124+R120+R118+R112</f>
        <v>61.205000000000005</v>
      </c>
    </row>
    <row r="130" spans="1:18" ht="23.25" x14ac:dyDescent="0.35">
      <c r="A130" s="35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</row>
    <row r="131" spans="1:18" ht="23.25" x14ac:dyDescent="0.35">
      <c r="A131" s="35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1:18" ht="29.25" customHeight="1" x14ac:dyDescent="0.35">
      <c r="A132" s="35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</row>
    <row r="133" spans="1:18" ht="26.25" customHeight="1" x14ac:dyDescent="0.35">
      <c r="A133" s="35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</row>
    <row r="134" spans="1:18" ht="18.75" x14ac:dyDescent="0.3">
      <c r="A134" s="34"/>
    </row>
    <row r="135" spans="1:18" ht="18.75" x14ac:dyDescent="0.3">
      <c r="A135" s="34"/>
    </row>
    <row r="136" spans="1:18" ht="18.75" x14ac:dyDescent="0.25">
      <c r="A136" s="131"/>
      <c r="B136" s="142" t="s">
        <v>0</v>
      </c>
      <c r="C136" s="133" t="s">
        <v>94</v>
      </c>
      <c r="D136" s="181" t="s">
        <v>20</v>
      </c>
      <c r="E136" s="181" t="s">
        <v>19</v>
      </c>
      <c r="F136" s="139" t="s">
        <v>1</v>
      </c>
      <c r="G136" s="139" t="s">
        <v>2</v>
      </c>
      <c r="H136" s="128" t="s">
        <v>3</v>
      </c>
      <c r="I136" s="139" t="s">
        <v>4</v>
      </c>
      <c r="J136" s="156" t="s">
        <v>5</v>
      </c>
      <c r="K136" s="156"/>
      <c r="L136" s="156"/>
      <c r="M136" s="156" t="s">
        <v>6</v>
      </c>
      <c r="N136" s="156"/>
      <c r="O136" s="156"/>
      <c r="P136" s="156"/>
      <c r="Q136" s="139" t="s">
        <v>65</v>
      </c>
      <c r="R136" s="184" t="s">
        <v>115</v>
      </c>
    </row>
    <row r="137" spans="1:18" x14ac:dyDescent="0.25">
      <c r="A137" s="132"/>
      <c r="B137" s="142"/>
      <c r="C137" s="134"/>
      <c r="D137" s="182"/>
      <c r="E137" s="182"/>
      <c r="F137" s="140"/>
      <c r="G137" s="140"/>
      <c r="H137" s="129"/>
      <c r="I137" s="140"/>
      <c r="J137" s="139" t="s">
        <v>7</v>
      </c>
      <c r="K137" s="181" t="s">
        <v>8</v>
      </c>
      <c r="L137" s="139" t="s">
        <v>9</v>
      </c>
      <c r="M137" s="139" t="s">
        <v>10</v>
      </c>
      <c r="N137" s="139" t="s">
        <v>11</v>
      </c>
      <c r="O137" s="139" t="s">
        <v>12</v>
      </c>
      <c r="P137" s="139" t="s">
        <v>13</v>
      </c>
      <c r="Q137" s="140"/>
      <c r="R137" s="185"/>
    </row>
    <row r="138" spans="1:18" ht="18.75" x14ac:dyDescent="0.3">
      <c r="A138" s="44"/>
      <c r="B138" s="42" t="s">
        <v>81</v>
      </c>
      <c r="C138" s="135"/>
      <c r="D138" s="183"/>
      <c r="E138" s="183"/>
      <c r="F138" s="141"/>
      <c r="G138" s="141"/>
      <c r="H138" s="130"/>
      <c r="I138" s="141"/>
      <c r="J138" s="141"/>
      <c r="K138" s="183"/>
      <c r="L138" s="141"/>
      <c r="M138" s="141"/>
      <c r="N138" s="141"/>
      <c r="O138" s="141"/>
      <c r="P138" s="141"/>
      <c r="Q138" s="141"/>
      <c r="R138" s="186"/>
    </row>
    <row r="139" spans="1:18" ht="21" x14ac:dyDescent="0.35">
      <c r="A139" s="22"/>
      <c r="B139" s="119" t="s">
        <v>129</v>
      </c>
      <c r="C139" s="154"/>
      <c r="D139" s="154"/>
      <c r="E139" s="154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155"/>
    </row>
    <row r="140" spans="1:18" ht="18.75" x14ac:dyDescent="0.3">
      <c r="A140" s="22"/>
      <c r="B140" s="283" t="s">
        <v>21</v>
      </c>
      <c r="C140" s="284">
        <v>42</v>
      </c>
      <c r="D140" s="284">
        <v>0</v>
      </c>
      <c r="E140" s="284">
        <f>C140-D140</f>
        <v>42</v>
      </c>
      <c r="F140" s="284">
        <f>E140*12.6%</f>
        <v>5.2919999999999998</v>
      </c>
      <c r="G140" s="284">
        <f>E140*3.3%</f>
        <v>1.3860000000000001</v>
      </c>
      <c r="H140" s="284">
        <f>E140*62.1%</f>
        <v>26.082000000000001</v>
      </c>
      <c r="I140" s="284">
        <f>E140*335%</f>
        <v>140.70000000000002</v>
      </c>
      <c r="J140" s="284">
        <f>E140*0.43%</f>
        <v>0.18060000000000001</v>
      </c>
      <c r="K140" s="284">
        <v>0</v>
      </c>
      <c r="L140" s="284">
        <v>0</v>
      </c>
      <c r="M140" s="284">
        <f>E140*20%</f>
        <v>8.4</v>
      </c>
      <c r="N140" s="284">
        <f>E140*298%</f>
        <v>125.16</v>
      </c>
      <c r="O140" s="284">
        <f>E140*200%</f>
        <v>84</v>
      </c>
      <c r="P140" s="284">
        <f>E140*6.7%</f>
        <v>2.8140000000000001</v>
      </c>
      <c r="Q140" s="284">
        <v>85</v>
      </c>
      <c r="R140" s="4">
        <f>C140/1000*85</f>
        <v>3.5700000000000003</v>
      </c>
    </row>
    <row r="141" spans="1:18" ht="18.75" x14ac:dyDescent="0.3">
      <c r="A141" s="22"/>
      <c r="B141" s="283" t="s">
        <v>22</v>
      </c>
      <c r="C141" s="284">
        <v>9</v>
      </c>
      <c r="D141" s="284">
        <v>0</v>
      </c>
      <c r="E141" s="284">
        <f>C141-D141</f>
        <v>9</v>
      </c>
      <c r="F141" s="284">
        <f>E141*0.5%</f>
        <v>4.4999999999999998E-2</v>
      </c>
      <c r="G141" s="284">
        <f>E141*82.5%</f>
        <v>7.4249999999999998</v>
      </c>
      <c r="H141" s="284">
        <f>E141*0.8%</f>
        <v>7.2000000000000008E-2</v>
      </c>
      <c r="I141" s="284">
        <f>E141*748%</f>
        <v>67.320000000000007</v>
      </c>
      <c r="J141" s="284">
        <v>0</v>
      </c>
      <c r="K141" s="284">
        <v>0</v>
      </c>
      <c r="L141" s="284">
        <f>E141*0.59%</f>
        <v>5.3100000000000001E-2</v>
      </c>
      <c r="M141" s="284">
        <f>E141*12%</f>
        <v>1.08</v>
      </c>
      <c r="N141" s="284">
        <f>E141*19%</f>
        <v>1.71</v>
      </c>
      <c r="O141" s="284">
        <f>E141*0.4%</f>
        <v>3.6000000000000004E-2</v>
      </c>
      <c r="P141" s="284">
        <f>E141*0.2%</f>
        <v>1.8000000000000002E-2</v>
      </c>
      <c r="Q141" s="284">
        <v>480</v>
      </c>
      <c r="R141" s="4">
        <f>C141/1000*480</f>
        <v>4.3199999999999994</v>
      </c>
    </row>
    <row r="142" spans="1:18" ht="18.75" x14ac:dyDescent="0.3">
      <c r="A142" s="22"/>
      <c r="B142" s="22" t="s">
        <v>68</v>
      </c>
      <c r="C142" s="4">
        <f>C141+C140</f>
        <v>51</v>
      </c>
      <c r="D142" s="4">
        <v>0</v>
      </c>
      <c r="E142" s="4">
        <v>100</v>
      </c>
      <c r="F142" s="4">
        <f t="shared" ref="F142:P142" si="18">SUM(F140:F141)</f>
        <v>5.3369999999999997</v>
      </c>
      <c r="G142" s="4">
        <f t="shared" si="18"/>
        <v>8.8109999999999999</v>
      </c>
      <c r="H142" s="4">
        <f t="shared" si="18"/>
        <v>26.154</v>
      </c>
      <c r="I142" s="4">
        <f t="shared" si="18"/>
        <v>208.02000000000004</v>
      </c>
      <c r="J142" s="4">
        <f t="shared" si="18"/>
        <v>0.18060000000000001</v>
      </c>
      <c r="K142" s="4">
        <f t="shared" si="18"/>
        <v>0</v>
      </c>
      <c r="L142" s="4">
        <f t="shared" si="18"/>
        <v>5.3100000000000001E-2</v>
      </c>
      <c r="M142" s="4">
        <f t="shared" si="18"/>
        <v>9.48</v>
      </c>
      <c r="N142" s="4">
        <f t="shared" si="18"/>
        <v>126.86999999999999</v>
      </c>
      <c r="O142" s="4">
        <f t="shared" si="18"/>
        <v>84.036000000000001</v>
      </c>
      <c r="P142" s="4">
        <f t="shared" si="18"/>
        <v>2.8319999999999999</v>
      </c>
      <c r="Q142" s="4"/>
      <c r="R142" s="4">
        <f t="shared" ref="R142" si="19">SUM(R140:R141)</f>
        <v>7.89</v>
      </c>
    </row>
    <row r="143" spans="1:18" ht="21" x14ac:dyDescent="0.35">
      <c r="A143" s="33"/>
      <c r="B143" s="119" t="s">
        <v>108</v>
      </c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5"/>
    </row>
    <row r="144" spans="1:18" ht="18.75" x14ac:dyDescent="0.3">
      <c r="A144" s="33"/>
      <c r="B144" s="283" t="s">
        <v>73</v>
      </c>
      <c r="C144" s="284">
        <v>90</v>
      </c>
      <c r="D144" s="284">
        <f>C144*25%</f>
        <v>22.5</v>
      </c>
      <c r="E144" s="284">
        <f>C144-D144</f>
        <v>67.5</v>
      </c>
      <c r="F144" s="284">
        <f>E144*18.2%</f>
        <v>12.285</v>
      </c>
      <c r="G144" s="284">
        <f>E144*18.4%</f>
        <v>12.42</v>
      </c>
      <c r="H144" s="284">
        <f>E144*0.7%</f>
        <v>0.47249999999999998</v>
      </c>
      <c r="I144" s="284">
        <f>E144*241%</f>
        <v>162.67500000000001</v>
      </c>
      <c r="J144" s="284">
        <f>E144*0.07%</f>
        <v>4.7250000000000007E-2</v>
      </c>
      <c r="K144" s="284">
        <v>0</v>
      </c>
      <c r="L144" s="284">
        <f>E144*0.07%</f>
        <v>4.7250000000000007E-2</v>
      </c>
      <c r="M144" s="284">
        <f>E144*16%</f>
        <v>10.8</v>
      </c>
      <c r="N144" s="284">
        <f>E144*165%</f>
        <v>111.375</v>
      </c>
      <c r="O144" s="284">
        <f>E144*18%</f>
        <v>12.15</v>
      </c>
      <c r="P144" s="284">
        <f>E144*1.6%</f>
        <v>1.08</v>
      </c>
      <c r="Q144" s="284">
        <v>270</v>
      </c>
      <c r="R144" s="284">
        <f>C144/1000*270</f>
        <v>24.3</v>
      </c>
    </row>
    <row r="145" spans="1:18" ht="18.75" x14ac:dyDescent="0.3">
      <c r="A145" s="33"/>
      <c r="B145" s="27" t="s">
        <v>68</v>
      </c>
      <c r="C145" s="4">
        <f>SUM(C144:C144)</f>
        <v>90</v>
      </c>
      <c r="D145" s="4">
        <f>SUM(D144:D144)</f>
        <v>22.5</v>
      </c>
      <c r="E145" s="4">
        <f>E144-0</f>
        <v>67.5</v>
      </c>
      <c r="F145" s="4">
        <f t="shared" ref="F145:P145" si="20">SUM(F144:F144)</f>
        <v>12.285</v>
      </c>
      <c r="G145" s="4">
        <f t="shared" si="20"/>
        <v>12.42</v>
      </c>
      <c r="H145" s="4">
        <f t="shared" si="20"/>
        <v>0.47249999999999998</v>
      </c>
      <c r="I145" s="4">
        <f t="shared" si="20"/>
        <v>162.67500000000001</v>
      </c>
      <c r="J145" s="4">
        <f t="shared" si="20"/>
        <v>4.7250000000000007E-2</v>
      </c>
      <c r="K145" s="4">
        <f t="shared" si="20"/>
        <v>0</v>
      </c>
      <c r="L145" s="4">
        <f t="shared" si="20"/>
        <v>4.7250000000000007E-2</v>
      </c>
      <c r="M145" s="4">
        <f t="shared" si="20"/>
        <v>10.8</v>
      </c>
      <c r="N145" s="4">
        <f t="shared" si="20"/>
        <v>111.375</v>
      </c>
      <c r="O145" s="4">
        <f t="shared" si="20"/>
        <v>12.15</v>
      </c>
      <c r="P145" s="4">
        <f t="shared" si="20"/>
        <v>1.08</v>
      </c>
      <c r="Q145" s="4"/>
      <c r="R145" s="4">
        <f t="shared" ref="R145" si="21">SUM(R144:R144)</f>
        <v>24.3</v>
      </c>
    </row>
    <row r="146" spans="1:18" s="82" customFormat="1" ht="21" x14ac:dyDescent="0.35">
      <c r="A146" s="81"/>
      <c r="B146" s="160" t="s">
        <v>104</v>
      </c>
      <c r="C146" s="217"/>
      <c r="D146" s="217"/>
      <c r="E146" s="217"/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8"/>
    </row>
    <row r="147" spans="1:18" ht="18.75" x14ac:dyDescent="0.3">
      <c r="A147" s="30"/>
      <c r="B147" s="27" t="s">
        <v>68</v>
      </c>
      <c r="C147" s="4">
        <v>30</v>
      </c>
      <c r="D147" s="4">
        <v>0</v>
      </c>
      <c r="E147" s="4">
        <f>C147-D147</f>
        <v>30</v>
      </c>
      <c r="F147" s="4">
        <f>E147*7.9%</f>
        <v>2.37</v>
      </c>
      <c r="G147" s="4">
        <f>E147*1%</f>
        <v>0.3</v>
      </c>
      <c r="H147" s="4">
        <f>E147*48.1%</f>
        <v>14.430000000000001</v>
      </c>
      <c r="I147" s="4">
        <f>E147*239%</f>
        <v>71.7</v>
      </c>
      <c r="J147" s="4">
        <f>E147*0.16%</f>
        <v>4.8000000000000001E-2</v>
      </c>
      <c r="K147" s="4">
        <v>0</v>
      </c>
      <c r="L147" s="4">
        <v>0</v>
      </c>
      <c r="M147" s="4">
        <f>E147*23%</f>
        <v>6.9</v>
      </c>
      <c r="N147" s="4">
        <f>E147*87%</f>
        <v>26.1</v>
      </c>
      <c r="O147" s="4">
        <f>E147*33%</f>
        <v>9.9</v>
      </c>
      <c r="P147" s="4">
        <f>E147*2%</f>
        <v>0.6</v>
      </c>
      <c r="Q147" s="4">
        <v>50</v>
      </c>
      <c r="R147" s="4">
        <f>C147/1000*50</f>
        <v>1.5</v>
      </c>
    </row>
    <row r="148" spans="1:18" ht="21" x14ac:dyDescent="0.35">
      <c r="A148" s="30"/>
      <c r="B148" s="160" t="s">
        <v>110</v>
      </c>
      <c r="C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8"/>
    </row>
    <row r="149" spans="1:18" ht="18.75" x14ac:dyDescent="0.3">
      <c r="A149" s="30"/>
      <c r="B149" s="284" t="s">
        <v>66</v>
      </c>
      <c r="C149" s="284">
        <v>15</v>
      </c>
      <c r="D149" s="284">
        <v>0</v>
      </c>
      <c r="E149" s="284">
        <v>15</v>
      </c>
      <c r="F149" s="284">
        <f>E149*5.2%</f>
        <v>0.78</v>
      </c>
      <c r="G149" s="284">
        <v>0</v>
      </c>
      <c r="H149" s="284">
        <f>E149*55%</f>
        <v>8.25</v>
      </c>
      <c r="I149" s="284">
        <f>E149*234%</f>
        <v>35.099999999999994</v>
      </c>
      <c r="J149" s="284">
        <f>E149*0.1%</f>
        <v>1.4999999999999999E-2</v>
      </c>
      <c r="K149" s="284">
        <f>E149*4%</f>
        <v>0.6</v>
      </c>
      <c r="L149" s="284">
        <v>0</v>
      </c>
      <c r="M149" s="284">
        <f>E149*160%</f>
        <v>24</v>
      </c>
      <c r="N149" s="284">
        <f>E149*146%</f>
        <v>21.9</v>
      </c>
      <c r="O149" s="284">
        <f>E149*105%</f>
        <v>15.75</v>
      </c>
      <c r="P149" s="284">
        <f>E149*3.2%</f>
        <v>0.48</v>
      </c>
      <c r="Q149" s="284">
        <v>350</v>
      </c>
      <c r="R149" s="284">
        <f>C149/1000*350</f>
        <v>5.25</v>
      </c>
    </row>
    <row r="150" spans="1:18" ht="18.75" x14ac:dyDescent="0.3">
      <c r="A150" s="30"/>
      <c r="B150" s="284" t="s">
        <v>67</v>
      </c>
      <c r="C150" s="284">
        <v>10</v>
      </c>
      <c r="D150" s="284">
        <v>0</v>
      </c>
      <c r="E150" s="284">
        <v>10</v>
      </c>
      <c r="F150" s="284">
        <v>0</v>
      </c>
      <c r="G150" s="284">
        <v>0</v>
      </c>
      <c r="H150" s="284">
        <f>E150*99.8%</f>
        <v>9.98</v>
      </c>
      <c r="I150" s="284">
        <f>E150*379%</f>
        <v>37.9</v>
      </c>
      <c r="J150" s="284">
        <v>0</v>
      </c>
      <c r="K150" s="284">
        <v>0</v>
      </c>
      <c r="L150" s="284">
        <v>0</v>
      </c>
      <c r="M150" s="284">
        <f>E150*2%</f>
        <v>0.2</v>
      </c>
      <c r="N150" s="284">
        <v>0</v>
      </c>
      <c r="O150" s="284">
        <v>0</v>
      </c>
      <c r="P150" s="284">
        <f>E150*0.3%</f>
        <v>0.03</v>
      </c>
      <c r="Q150" s="284">
        <v>60</v>
      </c>
      <c r="R150" s="284">
        <f>C150/1000*60</f>
        <v>0.6</v>
      </c>
    </row>
    <row r="151" spans="1:18" ht="18.75" x14ac:dyDescent="0.3">
      <c r="A151" s="30"/>
      <c r="B151" s="27" t="s">
        <v>68</v>
      </c>
      <c r="C151" s="4">
        <v>25</v>
      </c>
      <c r="D151" s="4">
        <f t="shared" ref="D151" si="22">SUM(D149:D150)</f>
        <v>0</v>
      </c>
      <c r="E151" s="4">
        <v>150</v>
      </c>
      <c r="F151" s="4">
        <f t="shared" ref="F151:P151" si="23">SUM(F149:F150)</f>
        <v>0.78</v>
      </c>
      <c r="G151" s="4">
        <f t="shared" si="23"/>
        <v>0</v>
      </c>
      <c r="H151" s="4">
        <f t="shared" si="23"/>
        <v>18.23</v>
      </c>
      <c r="I151" s="4">
        <f t="shared" si="23"/>
        <v>73</v>
      </c>
      <c r="J151" s="4">
        <f t="shared" si="23"/>
        <v>1.4999999999999999E-2</v>
      </c>
      <c r="K151" s="4">
        <f t="shared" si="23"/>
        <v>0.6</v>
      </c>
      <c r="L151" s="4">
        <f t="shared" si="23"/>
        <v>0</v>
      </c>
      <c r="M151" s="4">
        <f t="shared" si="23"/>
        <v>24.2</v>
      </c>
      <c r="N151" s="4">
        <f t="shared" si="23"/>
        <v>21.9</v>
      </c>
      <c r="O151" s="4">
        <f t="shared" si="23"/>
        <v>15.75</v>
      </c>
      <c r="P151" s="4">
        <f t="shared" si="23"/>
        <v>0.51</v>
      </c>
      <c r="Q151" s="4"/>
      <c r="R151" s="4">
        <f>SUM(R149:R150)</f>
        <v>5.85</v>
      </c>
    </row>
    <row r="152" spans="1:18" s="82" customFormat="1" ht="21" x14ac:dyDescent="0.35">
      <c r="A152" s="81"/>
      <c r="B152" s="165" t="s">
        <v>112</v>
      </c>
      <c r="C152" s="168"/>
      <c r="D152" s="168"/>
      <c r="E152" s="168"/>
      <c r="F152" s="168"/>
      <c r="G152" s="168"/>
      <c r="H152" s="168"/>
      <c r="I152" s="168"/>
      <c r="J152" s="168"/>
      <c r="K152" s="168"/>
      <c r="L152" s="168"/>
      <c r="M152" s="168"/>
      <c r="N152" s="168"/>
      <c r="O152" s="168"/>
      <c r="P152" s="168"/>
      <c r="Q152" s="168"/>
      <c r="R152" s="169"/>
    </row>
    <row r="153" spans="1:18" ht="18.75" x14ac:dyDescent="0.3">
      <c r="A153" s="30"/>
      <c r="B153" s="27" t="s">
        <v>68</v>
      </c>
      <c r="C153" s="4">
        <v>40</v>
      </c>
      <c r="D153" s="4">
        <v>0</v>
      </c>
      <c r="E153" s="4">
        <f>C153-D153</f>
        <v>40</v>
      </c>
      <c r="F153" s="2">
        <f>E153*7.5%</f>
        <v>3</v>
      </c>
      <c r="G153" s="2">
        <f>E153*11.8%</f>
        <v>4.7200000000000006</v>
      </c>
      <c r="H153" s="2">
        <f>E153*74.4%</f>
        <v>29.760000000000005</v>
      </c>
      <c r="I153" s="2">
        <f>E153*436%</f>
        <v>174.4</v>
      </c>
      <c r="J153" s="2">
        <f>E153*0.08%</f>
        <v>3.2000000000000001E-2</v>
      </c>
      <c r="K153" s="2">
        <f>E153*0%</f>
        <v>0</v>
      </c>
      <c r="L153" s="2">
        <f>E153*0%</f>
        <v>0</v>
      </c>
      <c r="M153" s="2">
        <f>E153*29%</f>
        <v>11.6</v>
      </c>
      <c r="N153" s="2">
        <f>E153*90%</f>
        <v>36</v>
      </c>
      <c r="O153" s="2">
        <f>E153*20%</f>
        <v>8</v>
      </c>
      <c r="P153" s="2">
        <f>E153*2.1%</f>
        <v>0.84000000000000008</v>
      </c>
      <c r="Q153" s="2">
        <v>160</v>
      </c>
      <c r="R153" s="4">
        <f>C153/1000*160</f>
        <v>6.4</v>
      </c>
    </row>
    <row r="154" spans="1:18" ht="22.5" customHeight="1" x14ac:dyDescent="0.3">
      <c r="A154" s="30"/>
      <c r="B154" s="136" t="s">
        <v>102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8"/>
    </row>
    <row r="155" spans="1:18" ht="18.75" x14ac:dyDescent="0.3">
      <c r="A155" s="30"/>
      <c r="B155" s="27" t="s">
        <v>68</v>
      </c>
      <c r="C155" s="4">
        <v>100</v>
      </c>
      <c r="D155" s="4">
        <v>0</v>
      </c>
      <c r="E155" s="4">
        <f>C155-D155</f>
        <v>100</v>
      </c>
      <c r="F155" s="4">
        <f>E155*1.5%</f>
        <v>1.5</v>
      </c>
      <c r="G155" s="4">
        <f>E155*0.5%</f>
        <v>0.5</v>
      </c>
      <c r="H155" s="4">
        <f>E155*21%</f>
        <v>21</v>
      </c>
      <c r="I155" s="4">
        <f>E155*96%</f>
        <v>96</v>
      </c>
      <c r="J155" s="4">
        <v>0</v>
      </c>
      <c r="K155" s="4">
        <v>8.6999999999999993</v>
      </c>
      <c r="L155" s="4">
        <v>3</v>
      </c>
      <c r="M155" s="4">
        <v>5</v>
      </c>
      <c r="N155" s="4">
        <v>22</v>
      </c>
      <c r="O155" s="4">
        <v>27</v>
      </c>
      <c r="P155" s="4">
        <v>0.3</v>
      </c>
      <c r="Q155" s="4">
        <v>150</v>
      </c>
      <c r="R155" s="4">
        <f>C155/1000*150</f>
        <v>15</v>
      </c>
    </row>
    <row r="156" spans="1:18" ht="18.75" x14ac:dyDescent="0.3">
      <c r="A156" s="33"/>
      <c r="B156" s="122" t="s">
        <v>103</v>
      </c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7"/>
    </row>
    <row r="157" spans="1:18" ht="18.75" x14ac:dyDescent="0.3">
      <c r="A157" s="33"/>
      <c r="B157" s="27" t="s">
        <v>68</v>
      </c>
      <c r="C157" s="23">
        <v>3</v>
      </c>
      <c r="D157" s="4">
        <v>0</v>
      </c>
      <c r="E157" s="23">
        <f>C157-D157</f>
        <v>3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20</v>
      </c>
      <c r="R157" s="23">
        <f>C157/1000*20</f>
        <v>0.06</v>
      </c>
    </row>
    <row r="158" spans="1:18" ht="23.25" x14ac:dyDescent="0.35">
      <c r="A158" s="33"/>
      <c r="B158" s="21" t="s">
        <v>68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>
        <f>R157+R155+R153+R151+R147+R145+R142</f>
        <v>61</v>
      </c>
    </row>
    <row r="159" spans="1:18" ht="23.25" x14ac:dyDescent="0.35">
      <c r="A159" s="35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</row>
    <row r="160" spans="1:18" ht="15" customHeight="1" x14ac:dyDescent="0.35">
      <c r="A160" s="35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</row>
    <row r="161" spans="1:18" ht="15" customHeight="1" x14ac:dyDescent="0.35">
      <c r="A161" s="35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</row>
    <row r="162" spans="1:18" ht="15" customHeight="1" x14ac:dyDescent="0.35">
      <c r="A162" s="35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1:18" ht="15" customHeight="1" x14ac:dyDescent="0.35">
      <c r="A163" s="35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</row>
    <row r="164" spans="1:18" ht="15" customHeight="1" x14ac:dyDescent="0.35">
      <c r="A164" s="35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</row>
    <row r="165" spans="1:18" ht="15" customHeight="1" x14ac:dyDescent="0.35">
      <c r="A165" s="35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</row>
    <row r="166" spans="1:18" ht="15" customHeight="1" x14ac:dyDescent="0.35">
      <c r="A166" s="35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</row>
    <row r="167" spans="1:18" ht="15" customHeight="1" x14ac:dyDescent="0.35">
      <c r="A167" s="35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</row>
    <row r="168" spans="1:18" ht="15" customHeight="1" x14ac:dyDescent="0.35">
      <c r="A168" s="35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</row>
    <row r="169" spans="1:18" ht="15" customHeight="1" x14ac:dyDescent="0.35">
      <c r="A169" s="35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</row>
    <row r="170" spans="1:18" ht="27.75" customHeight="1" x14ac:dyDescent="0.35">
      <c r="A170" s="35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</row>
    <row r="171" spans="1:18" ht="36" customHeight="1" x14ac:dyDescent="0.35">
      <c r="A171" s="35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</row>
    <row r="172" spans="1:18" ht="26.25" customHeight="1" x14ac:dyDescent="0.35">
      <c r="A172" s="35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</row>
    <row r="173" spans="1:18" ht="23.25" x14ac:dyDescent="0.35">
      <c r="A173" s="35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</row>
    <row r="174" spans="1:18" ht="18.75" x14ac:dyDescent="0.25">
      <c r="A174" s="131"/>
      <c r="B174" s="142" t="s">
        <v>0</v>
      </c>
      <c r="C174" s="133" t="s">
        <v>94</v>
      </c>
      <c r="D174" s="181" t="s">
        <v>20</v>
      </c>
      <c r="E174" s="181" t="s">
        <v>19</v>
      </c>
      <c r="F174" s="139" t="s">
        <v>1</v>
      </c>
      <c r="G174" s="139" t="s">
        <v>2</v>
      </c>
      <c r="H174" s="128" t="s">
        <v>3</v>
      </c>
      <c r="I174" s="139" t="s">
        <v>4</v>
      </c>
      <c r="J174" s="156" t="s">
        <v>5</v>
      </c>
      <c r="K174" s="156"/>
      <c r="L174" s="156"/>
      <c r="M174" s="156" t="s">
        <v>6</v>
      </c>
      <c r="N174" s="156"/>
      <c r="O174" s="156"/>
      <c r="P174" s="156"/>
      <c r="Q174" s="139" t="s">
        <v>65</v>
      </c>
      <c r="R174" s="184" t="s">
        <v>115</v>
      </c>
    </row>
    <row r="175" spans="1:18" x14ac:dyDescent="0.25">
      <c r="A175" s="132"/>
      <c r="B175" s="142"/>
      <c r="C175" s="134"/>
      <c r="D175" s="182"/>
      <c r="E175" s="182"/>
      <c r="F175" s="140"/>
      <c r="G175" s="140"/>
      <c r="H175" s="129"/>
      <c r="I175" s="140"/>
      <c r="J175" s="139" t="s">
        <v>7</v>
      </c>
      <c r="K175" s="181" t="s">
        <v>8</v>
      </c>
      <c r="L175" s="139" t="s">
        <v>9</v>
      </c>
      <c r="M175" s="139" t="s">
        <v>10</v>
      </c>
      <c r="N175" s="139" t="s">
        <v>11</v>
      </c>
      <c r="O175" s="139" t="s">
        <v>12</v>
      </c>
      <c r="P175" s="139" t="s">
        <v>13</v>
      </c>
      <c r="Q175" s="140"/>
      <c r="R175" s="185"/>
    </row>
    <row r="176" spans="1:18" ht="18.75" x14ac:dyDescent="0.3">
      <c r="A176" s="44"/>
      <c r="B176" s="42" t="s">
        <v>82</v>
      </c>
      <c r="C176" s="135"/>
      <c r="D176" s="183"/>
      <c r="E176" s="183"/>
      <c r="F176" s="141"/>
      <c r="G176" s="141"/>
      <c r="H176" s="130"/>
      <c r="I176" s="141"/>
      <c r="J176" s="141"/>
      <c r="K176" s="183"/>
      <c r="L176" s="141"/>
      <c r="M176" s="141"/>
      <c r="N176" s="141"/>
      <c r="O176" s="141"/>
      <c r="P176" s="141"/>
      <c r="Q176" s="141"/>
      <c r="R176" s="186"/>
    </row>
    <row r="177" spans="1:18" ht="20.25" x14ac:dyDescent="0.3">
      <c r="A177" s="44"/>
      <c r="B177" s="246" t="s">
        <v>123</v>
      </c>
      <c r="C177" s="247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47"/>
      <c r="O177" s="247"/>
      <c r="P177" s="247"/>
      <c r="Q177" s="247"/>
      <c r="R177" s="248"/>
    </row>
    <row r="178" spans="1:18" ht="18.75" x14ac:dyDescent="0.3">
      <c r="A178" s="30"/>
      <c r="B178" s="285" t="s">
        <v>89</v>
      </c>
      <c r="C178" s="286">
        <v>50</v>
      </c>
      <c r="D178" s="286">
        <v>0</v>
      </c>
      <c r="E178" s="286">
        <f>C178-D178</f>
        <v>50</v>
      </c>
      <c r="F178" s="286">
        <f>E178*2%</f>
        <v>1</v>
      </c>
      <c r="G178" s="286">
        <f>E178*0.4%</f>
        <v>0.2</v>
      </c>
      <c r="H178" s="286">
        <f>E178*16.3%</f>
        <v>8.15</v>
      </c>
      <c r="I178" s="286">
        <f>E178*80%</f>
        <v>40</v>
      </c>
      <c r="J178" s="286">
        <f>E178*0.12%</f>
        <v>0.06</v>
      </c>
      <c r="K178" s="286">
        <f>E178*20%</f>
        <v>10</v>
      </c>
      <c r="L178" s="286">
        <v>0</v>
      </c>
      <c r="M178" s="286">
        <f>E178*10%</f>
        <v>5</v>
      </c>
      <c r="N178" s="286">
        <f>E178*58%</f>
        <v>28.999999999999996</v>
      </c>
      <c r="O178" s="286">
        <f>E178*23%</f>
        <v>11.5</v>
      </c>
      <c r="P178" s="286">
        <f>E178*0.9%</f>
        <v>0.45000000000000007</v>
      </c>
      <c r="Q178" s="286">
        <v>75</v>
      </c>
      <c r="R178" s="286">
        <f>C178/1000*75</f>
        <v>3.75</v>
      </c>
    </row>
    <row r="179" spans="1:18" ht="18.75" x14ac:dyDescent="0.3">
      <c r="A179" s="30"/>
      <c r="B179" s="279" t="s">
        <v>17</v>
      </c>
      <c r="C179" s="286">
        <v>10</v>
      </c>
      <c r="D179" s="286">
        <v>0</v>
      </c>
      <c r="E179" s="286">
        <f>C179-D179</f>
        <v>10</v>
      </c>
      <c r="F179" s="286">
        <v>0</v>
      </c>
      <c r="G179" s="289">
        <f>E179*99.9%</f>
        <v>9.990000000000002</v>
      </c>
      <c r="H179" s="286">
        <v>0</v>
      </c>
      <c r="I179" s="286">
        <f>E179*8.99%</f>
        <v>0.89900000000000002</v>
      </c>
      <c r="J179" s="286">
        <f>E179*0.06%</f>
        <v>5.9999999999999993E-3</v>
      </c>
      <c r="K179" s="286">
        <v>0</v>
      </c>
      <c r="L179" s="286">
        <v>0</v>
      </c>
      <c r="M179" s="286">
        <v>0</v>
      </c>
      <c r="N179" s="286">
        <v>0</v>
      </c>
      <c r="O179" s="286">
        <v>0</v>
      </c>
      <c r="P179" s="286">
        <v>0</v>
      </c>
      <c r="Q179" s="286">
        <v>150</v>
      </c>
      <c r="R179" s="285">
        <f>C179/1000*150</f>
        <v>1.5</v>
      </c>
    </row>
    <row r="180" spans="1:18" ht="18.75" x14ac:dyDescent="0.3">
      <c r="A180" s="30"/>
      <c r="B180" s="285" t="s">
        <v>15</v>
      </c>
      <c r="C180" s="286">
        <v>25</v>
      </c>
      <c r="D180" s="286">
        <f>C180*0.2</f>
        <v>5</v>
      </c>
      <c r="E180" s="286">
        <f>C180-D180</f>
        <v>20</v>
      </c>
      <c r="F180" s="286">
        <f>E180*1.3%</f>
        <v>0.26</v>
      </c>
      <c r="G180" s="289">
        <f>E180*0.001</f>
        <v>0.02</v>
      </c>
      <c r="H180" s="286">
        <f>E180*0.072</f>
        <v>1.44</v>
      </c>
      <c r="I180" s="286">
        <f>E180*0.3</f>
        <v>6</v>
      </c>
      <c r="J180" s="286">
        <f>E180*0.06%</f>
        <v>1.1999999999999999E-2</v>
      </c>
      <c r="K180" s="286">
        <f>E180*5%</f>
        <v>1</v>
      </c>
      <c r="L180" s="286">
        <v>0</v>
      </c>
      <c r="M180" s="286">
        <f>E180*51%</f>
        <v>10.199999999999999</v>
      </c>
      <c r="N180" s="286">
        <f>E180*55%</f>
        <v>11</v>
      </c>
      <c r="O180" s="286">
        <f>E180*38%</f>
        <v>7.6</v>
      </c>
      <c r="P180" s="286">
        <f>E180*0.7%</f>
        <v>0.13999999999999999</v>
      </c>
      <c r="Q180" s="286">
        <v>60</v>
      </c>
      <c r="R180" s="285">
        <f>C180/1000*60</f>
        <v>1.5</v>
      </c>
    </row>
    <row r="181" spans="1:18" ht="18.75" x14ac:dyDescent="0.3">
      <c r="A181" s="22"/>
      <c r="B181" s="285" t="s">
        <v>72</v>
      </c>
      <c r="C181" s="286">
        <v>25</v>
      </c>
      <c r="D181" s="286">
        <f>C181*0.16</f>
        <v>4</v>
      </c>
      <c r="E181" s="286">
        <f>C181-D181</f>
        <v>21</v>
      </c>
      <c r="F181" s="286">
        <f>E181*1.4%</f>
        <v>0.29399999999999998</v>
      </c>
      <c r="G181" s="287">
        <v>0</v>
      </c>
      <c r="H181" s="286">
        <f>E181*9.1%</f>
        <v>1.911</v>
      </c>
      <c r="I181" s="286">
        <f>E181*41%</f>
        <v>8.61</v>
      </c>
      <c r="J181" s="286">
        <f>E181*0.05%</f>
        <v>1.0500000000000001E-2</v>
      </c>
      <c r="K181" s="286">
        <f>E181*10%</f>
        <v>2.1</v>
      </c>
      <c r="L181" s="286">
        <v>0</v>
      </c>
      <c r="M181" s="286">
        <f>E181*31%</f>
        <v>6.51</v>
      </c>
      <c r="N181" s="286">
        <f>E181*58%</f>
        <v>12.18</v>
      </c>
      <c r="O181" s="286">
        <f>E181*14%</f>
        <v>2.9400000000000004</v>
      </c>
      <c r="P181" s="286">
        <f>E181*0.8%</f>
        <v>0.16800000000000001</v>
      </c>
      <c r="Q181" s="286">
        <v>40</v>
      </c>
      <c r="R181" s="286">
        <f>C181/1000*40</f>
        <v>1</v>
      </c>
    </row>
    <row r="182" spans="1:18" ht="18.75" x14ac:dyDescent="0.3">
      <c r="A182" s="30"/>
      <c r="B182" s="285" t="s">
        <v>73</v>
      </c>
      <c r="C182" s="286">
        <v>90</v>
      </c>
      <c r="D182" s="286">
        <f>C182*25%</f>
        <v>22.5</v>
      </c>
      <c r="E182" s="286">
        <v>75</v>
      </c>
      <c r="F182" s="286">
        <f>E182*18.2%</f>
        <v>13.65</v>
      </c>
      <c r="G182" s="286">
        <f>E182*18.4%</f>
        <v>13.799999999999999</v>
      </c>
      <c r="H182" s="286">
        <f>E182*0.7%</f>
        <v>0.52499999999999991</v>
      </c>
      <c r="I182" s="286">
        <f>E182*241%</f>
        <v>180.75</v>
      </c>
      <c r="J182" s="286">
        <f>E182*0.07%</f>
        <v>5.2500000000000005E-2</v>
      </c>
      <c r="K182" s="286">
        <v>0</v>
      </c>
      <c r="L182" s="286">
        <f>E182*0.07%</f>
        <v>5.2500000000000005E-2</v>
      </c>
      <c r="M182" s="286">
        <f>E182*16%</f>
        <v>12</v>
      </c>
      <c r="N182" s="286">
        <f>E182*165%</f>
        <v>123.75</v>
      </c>
      <c r="O182" s="286">
        <f>E182*18%</f>
        <v>13.5</v>
      </c>
      <c r="P182" s="286">
        <f>E182*1.6%</f>
        <v>1.2</v>
      </c>
      <c r="Q182" s="286">
        <v>270</v>
      </c>
      <c r="R182" s="286">
        <f>C182/1000*270</f>
        <v>24.3</v>
      </c>
    </row>
    <row r="183" spans="1:18" ht="18.75" x14ac:dyDescent="0.3">
      <c r="A183" s="30"/>
      <c r="B183" s="26" t="s">
        <v>68</v>
      </c>
      <c r="C183" s="4">
        <f t="shared" ref="C183:P183" si="24">SUM(C178:C182)</f>
        <v>200</v>
      </c>
      <c r="D183" s="4">
        <f t="shared" si="24"/>
        <v>31.5</v>
      </c>
      <c r="E183" s="4">
        <f t="shared" si="24"/>
        <v>176</v>
      </c>
      <c r="F183" s="4">
        <f t="shared" si="24"/>
        <v>15.204000000000001</v>
      </c>
      <c r="G183" s="4">
        <f t="shared" si="24"/>
        <v>24.009999999999998</v>
      </c>
      <c r="H183" s="4">
        <f t="shared" si="24"/>
        <v>12.026</v>
      </c>
      <c r="I183" s="4">
        <f t="shared" si="24"/>
        <v>236.25900000000001</v>
      </c>
      <c r="J183" s="4">
        <f t="shared" si="24"/>
        <v>0.14100000000000001</v>
      </c>
      <c r="K183" s="4">
        <f t="shared" si="24"/>
        <v>13.1</v>
      </c>
      <c r="L183" s="4">
        <f t="shared" si="24"/>
        <v>5.2500000000000005E-2</v>
      </c>
      <c r="M183" s="4">
        <f t="shared" si="24"/>
        <v>33.71</v>
      </c>
      <c r="N183" s="4">
        <f t="shared" si="24"/>
        <v>175.93</v>
      </c>
      <c r="O183" s="4">
        <f t="shared" si="24"/>
        <v>35.540000000000006</v>
      </c>
      <c r="P183" s="4">
        <f t="shared" si="24"/>
        <v>1.9580000000000002</v>
      </c>
      <c r="Q183" s="4"/>
      <c r="R183" s="4">
        <f>SUM(R178:R182)</f>
        <v>32.049999999999997</v>
      </c>
    </row>
    <row r="184" spans="1:18" s="82" customFormat="1" ht="24" customHeight="1" x14ac:dyDescent="0.35">
      <c r="A184" s="81"/>
      <c r="B184" s="119" t="s">
        <v>126</v>
      </c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1"/>
    </row>
    <row r="185" spans="1:18" ht="18.75" x14ac:dyDescent="0.3">
      <c r="A185" s="30"/>
      <c r="B185" s="285" t="s">
        <v>71</v>
      </c>
      <c r="C185" s="286">
        <v>28</v>
      </c>
      <c r="D185" s="286">
        <f>C185*0.25</f>
        <v>7</v>
      </c>
      <c r="E185" s="286">
        <f>C185-D185</f>
        <v>21</v>
      </c>
      <c r="F185" s="286">
        <f>E185*2%</f>
        <v>0.42</v>
      </c>
      <c r="G185" s="286">
        <f>E185*0.4%</f>
        <v>8.4000000000000005E-2</v>
      </c>
      <c r="H185" s="286">
        <f>E185*16.3%</f>
        <v>3.423</v>
      </c>
      <c r="I185" s="286">
        <f>E185*80%</f>
        <v>16.8</v>
      </c>
      <c r="J185" s="286">
        <f>E185*0.12%</f>
        <v>2.5199999999999997E-2</v>
      </c>
      <c r="K185" s="286">
        <f>E185*20%</f>
        <v>4.2</v>
      </c>
      <c r="L185" s="286">
        <v>0</v>
      </c>
      <c r="M185" s="286">
        <f>E185*10%</f>
        <v>2.1</v>
      </c>
      <c r="N185" s="286">
        <f>E185*58%</f>
        <v>12.18</v>
      </c>
      <c r="O185" s="286">
        <f>E185*23%</f>
        <v>4.83</v>
      </c>
      <c r="P185" s="286">
        <f>E185*0.9%</f>
        <v>0.18900000000000003</v>
      </c>
      <c r="Q185" s="286">
        <v>57</v>
      </c>
      <c r="R185" s="286">
        <f>C185/1000*57</f>
        <v>1.5960000000000001</v>
      </c>
    </row>
    <row r="186" spans="1:18" ht="18.75" x14ac:dyDescent="0.3">
      <c r="A186" s="30"/>
      <c r="B186" s="285" t="s">
        <v>15</v>
      </c>
      <c r="C186" s="286">
        <v>28</v>
      </c>
      <c r="D186" s="286">
        <f>C186*0.2</f>
        <v>5.6000000000000005</v>
      </c>
      <c r="E186" s="286">
        <f>C186-D186</f>
        <v>22.4</v>
      </c>
      <c r="F186" s="286">
        <f>E186*1.3%</f>
        <v>0.29120000000000001</v>
      </c>
      <c r="G186" s="289">
        <f>E186*0.001</f>
        <v>2.24E-2</v>
      </c>
      <c r="H186" s="286">
        <f>E186*0.072</f>
        <v>1.6127999999999998</v>
      </c>
      <c r="I186" s="286">
        <f>E186*0.3</f>
        <v>6.72</v>
      </c>
      <c r="J186" s="286">
        <f>E186*0.06%</f>
        <v>1.3439999999999999E-2</v>
      </c>
      <c r="K186" s="286">
        <f>E186*5%</f>
        <v>1.1199999999999999</v>
      </c>
      <c r="L186" s="286">
        <v>0</v>
      </c>
      <c r="M186" s="286">
        <f>E186*51%</f>
        <v>11.423999999999999</v>
      </c>
      <c r="N186" s="286">
        <f>E186*55%</f>
        <v>12.32</v>
      </c>
      <c r="O186" s="286">
        <f>E186*38%</f>
        <v>8.5119999999999987</v>
      </c>
      <c r="P186" s="286">
        <f>E186*0.7%</f>
        <v>0.15679999999999997</v>
      </c>
      <c r="Q186" s="286">
        <v>60</v>
      </c>
      <c r="R186" s="285">
        <f>C186/1000*60</f>
        <v>1.68</v>
      </c>
    </row>
    <row r="187" spans="1:18" ht="18.75" x14ac:dyDescent="0.3">
      <c r="A187" s="30"/>
      <c r="B187" s="279" t="s">
        <v>70</v>
      </c>
      <c r="C187" s="286">
        <v>28</v>
      </c>
      <c r="D187" s="286">
        <f>C187*0.2</f>
        <v>5.6000000000000005</v>
      </c>
      <c r="E187" s="286">
        <f>C187-D187</f>
        <v>22.4</v>
      </c>
      <c r="F187" s="286">
        <f>E187*0.015</f>
        <v>0.33599999999999997</v>
      </c>
      <c r="G187" s="286">
        <f>E187*0.001</f>
        <v>2.24E-2</v>
      </c>
      <c r="H187" s="286">
        <f>E187*0.091</f>
        <v>2.0383999999999998</v>
      </c>
      <c r="I187" s="286">
        <f>E187*0.42</f>
        <v>9.4079999999999995</v>
      </c>
      <c r="J187" s="286">
        <f>E187*0.02%</f>
        <v>4.4799999999999996E-3</v>
      </c>
      <c r="K187" s="286">
        <f>E187*10%</f>
        <v>2.2399999999999998</v>
      </c>
      <c r="L187" s="286">
        <v>0</v>
      </c>
      <c r="M187" s="286">
        <f>E187*37%</f>
        <v>8.2880000000000003</v>
      </c>
      <c r="N187" s="286">
        <f>E187*43%</f>
        <v>9.6319999999999997</v>
      </c>
      <c r="O187" s="286">
        <f>E187*22%</f>
        <v>4.9279999999999999</v>
      </c>
      <c r="P187" s="286">
        <f>E187*1.4%</f>
        <v>0.31359999999999993</v>
      </c>
      <c r="Q187" s="286">
        <v>60</v>
      </c>
      <c r="R187" s="286">
        <f>C187/1000*60</f>
        <v>1.68</v>
      </c>
    </row>
    <row r="188" spans="1:18" s="64" customFormat="1" ht="15.75" customHeight="1" x14ac:dyDescent="0.25">
      <c r="A188" s="74"/>
      <c r="B188" s="279" t="s">
        <v>76</v>
      </c>
      <c r="C188" s="290">
        <v>8</v>
      </c>
      <c r="D188" s="290">
        <v>0</v>
      </c>
      <c r="E188" s="290">
        <f>C188-D188</f>
        <v>8</v>
      </c>
      <c r="F188" s="290">
        <v>0</v>
      </c>
      <c r="G188" s="291">
        <f>E188*0.999</f>
        <v>7.992</v>
      </c>
      <c r="H188" s="290">
        <v>0</v>
      </c>
      <c r="I188" s="290">
        <f>E188*8.99</f>
        <v>71.92</v>
      </c>
      <c r="J188" s="290">
        <f>E188*0.06%</f>
        <v>4.7999999999999996E-3</v>
      </c>
      <c r="K188" s="290">
        <v>0</v>
      </c>
      <c r="L188" s="290">
        <v>0</v>
      </c>
      <c r="M188" s="290">
        <v>0</v>
      </c>
      <c r="N188" s="290">
        <v>0</v>
      </c>
      <c r="O188" s="290">
        <v>0</v>
      </c>
      <c r="P188" s="290">
        <v>0</v>
      </c>
      <c r="Q188" s="290">
        <v>180</v>
      </c>
      <c r="R188" s="290">
        <f>C188/1000*180</f>
        <v>1.44</v>
      </c>
    </row>
    <row r="189" spans="1:18" ht="18.75" x14ac:dyDescent="0.3">
      <c r="A189" s="30"/>
      <c r="B189" s="279" t="s">
        <v>17</v>
      </c>
      <c r="C189" s="286">
        <v>5</v>
      </c>
      <c r="D189" s="286">
        <v>0</v>
      </c>
      <c r="E189" s="286">
        <f>C189-D189</f>
        <v>5</v>
      </c>
      <c r="F189" s="286">
        <v>0</v>
      </c>
      <c r="G189" s="289">
        <f>E189*0.999</f>
        <v>4.9950000000000001</v>
      </c>
      <c r="H189" s="286">
        <v>0</v>
      </c>
      <c r="I189" s="286">
        <f>E189*8.99</f>
        <v>44.95</v>
      </c>
      <c r="J189" s="286">
        <f>E189*0.06%</f>
        <v>2.9999999999999996E-3</v>
      </c>
      <c r="K189" s="286">
        <v>0</v>
      </c>
      <c r="L189" s="286">
        <v>0</v>
      </c>
      <c r="M189" s="286">
        <v>0</v>
      </c>
      <c r="N189" s="286">
        <v>0</v>
      </c>
      <c r="O189" s="286">
        <v>0</v>
      </c>
      <c r="P189" s="286">
        <v>0</v>
      </c>
      <c r="Q189" s="286">
        <v>150</v>
      </c>
      <c r="R189" s="286">
        <f>C189/1000*150</f>
        <v>0.75</v>
      </c>
    </row>
    <row r="190" spans="1:18" ht="18.75" x14ac:dyDescent="0.3">
      <c r="A190" s="30"/>
      <c r="B190" s="26" t="s">
        <v>68</v>
      </c>
      <c r="C190" s="4">
        <f t="shared" ref="C190:R190" si="25">SUM(C185:C189)</f>
        <v>97</v>
      </c>
      <c r="D190" s="4">
        <f t="shared" si="25"/>
        <v>18.200000000000003</v>
      </c>
      <c r="E190" s="4">
        <f t="shared" si="25"/>
        <v>78.8</v>
      </c>
      <c r="F190" s="4">
        <f t="shared" si="25"/>
        <v>1.0472000000000001</v>
      </c>
      <c r="G190" s="4">
        <f t="shared" si="25"/>
        <v>13.1158</v>
      </c>
      <c r="H190" s="4">
        <f t="shared" si="25"/>
        <v>7.0741999999999994</v>
      </c>
      <c r="I190" s="4">
        <f t="shared" si="25"/>
        <v>149.798</v>
      </c>
      <c r="J190" s="4">
        <f t="shared" si="25"/>
        <v>5.0919999999999993E-2</v>
      </c>
      <c r="K190" s="4">
        <f t="shared" si="25"/>
        <v>7.5600000000000005</v>
      </c>
      <c r="L190" s="4">
        <f t="shared" si="25"/>
        <v>0</v>
      </c>
      <c r="M190" s="4">
        <f t="shared" si="25"/>
        <v>21.811999999999998</v>
      </c>
      <c r="N190" s="4">
        <f t="shared" si="25"/>
        <v>34.131999999999998</v>
      </c>
      <c r="O190" s="4">
        <f t="shared" si="25"/>
        <v>18.27</v>
      </c>
      <c r="P190" s="4">
        <f t="shared" si="25"/>
        <v>0.65939999999999999</v>
      </c>
      <c r="Q190" s="4"/>
      <c r="R190" s="4">
        <f t="shared" si="25"/>
        <v>7.145999999999999</v>
      </c>
    </row>
    <row r="191" spans="1:18" s="82" customFormat="1" ht="21" x14ac:dyDescent="0.35">
      <c r="A191" s="81"/>
      <c r="B191" s="160" t="s">
        <v>104</v>
      </c>
      <c r="C191" s="217"/>
      <c r="D191" s="217"/>
      <c r="E191" s="217"/>
      <c r="F191" s="217"/>
      <c r="G191" s="217"/>
      <c r="H191" s="217"/>
      <c r="I191" s="217"/>
      <c r="J191" s="217"/>
      <c r="K191" s="217"/>
      <c r="L191" s="217"/>
      <c r="M191" s="217"/>
      <c r="N191" s="217"/>
      <c r="O191" s="217"/>
      <c r="P191" s="217"/>
      <c r="Q191" s="217"/>
      <c r="R191" s="218"/>
    </row>
    <row r="192" spans="1:18" ht="18.75" x14ac:dyDescent="0.3">
      <c r="A192" s="30"/>
      <c r="B192" s="27" t="s">
        <v>68</v>
      </c>
      <c r="C192" s="4">
        <v>30</v>
      </c>
      <c r="D192" s="4">
        <v>0</v>
      </c>
      <c r="E192" s="4">
        <v>30</v>
      </c>
      <c r="F192" s="4">
        <f>E192*7.9%</f>
        <v>2.37</v>
      </c>
      <c r="G192" s="4">
        <f>E192*1%</f>
        <v>0.3</v>
      </c>
      <c r="H192" s="4">
        <f>E192*48.1%</f>
        <v>14.430000000000001</v>
      </c>
      <c r="I192" s="4">
        <f>E192*239%</f>
        <v>71.7</v>
      </c>
      <c r="J192" s="4">
        <f>E192*0.16%</f>
        <v>4.8000000000000001E-2</v>
      </c>
      <c r="K192" s="4">
        <v>0</v>
      </c>
      <c r="L192" s="4">
        <v>0</v>
      </c>
      <c r="M192" s="4">
        <f>E192*23%</f>
        <v>6.9</v>
      </c>
      <c r="N192" s="4">
        <f>E192*87%</f>
        <v>26.1</v>
      </c>
      <c r="O192" s="4">
        <f>E192*33%</f>
        <v>9.9</v>
      </c>
      <c r="P192" s="4">
        <f>E192*2%</f>
        <v>0.6</v>
      </c>
      <c r="Q192" s="4">
        <v>50</v>
      </c>
      <c r="R192" s="4">
        <f>C192/1000*50</f>
        <v>1.5</v>
      </c>
    </row>
    <row r="193" spans="1:18" s="80" customFormat="1" ht="21" x14ac:dyDescent="0.35">
      <c r="A193" s="79"/>
      <c r="B193" s="230" t="s">
        <v>105</v>
      </c>
      <c r="C193" s="231"/>
      <c r="D193" s="231"/>
      <c r="E193" s="231"/>
      <c r="F193" s="231"/>
      <c r="G193" s="231"/>
      <c r="H193" s="231"/>
      <c r="I193" s="231"/>
      <c r="J193" s="231"/>
      <c r="K193" s="231"/>
      <c r="L193" s="231"/>
      <c r="M193" s="231"/>
      <c r="N193" s="231"/>
      <c r="O193" s="231"/>
      <c r="P193" s="231"/>
      <c r="Q193" s="231"/>
      <c r="R193" s="232"/>
    </row>
    <row r="194" spans="1:18" ht="18.75" x14ac:dyDescent="0.3">
      <c r="A194" s="30"/>
      <c r="B194" s="284" t="s">
        <v>51</v>
      </c>
      <c r="C194" s="284">
        <v>1</v>
      </c>
      <c r="D194" s="284">
        <v>0</v>
      </c>
      <c r="E194" s="284">
        <f>C194-D194</f>
        <v>1</v>
      </c>
      <c r="F194" s="284">
        <f>E194*21.74%</f>
        <v>0.21739999999999998</v>
      </c>
      <c r="G194" s="284">
        <f>E194*7.61%</f>
        <v>7.6100000000000001E-2</v>
      </c>
      <c r="H194" s="284">
        <f>E194*2.86%</f>
        <v>2.86E-2</v>
      </c>
      <c r="I194" s="284">
        <f>E194*9.18%</f>
        <v>9.1799999999999993E-2</v>
      </c>
      <c r="J194" s="284">
        <f>E194*4.7%</f>
        <v>4.7E-2</v>
      </c>
      <c r="K194" s="284">
        <f>E194*11%</f>
        <v>0.11</v>
      </c>
      <c r="L194" s="284">
        <f>E194*5.6%</f>
        <v>5.5999999999999994E-2</v>
      </c>
      <c r="M194" s="284">
        <f>E194*50%</f>
        <v>0.5</v>
      </c>
      <c r="N194" s="284">
        <f>E194*10%</f>
        <v>0.1</v>
      </c>
      <c r="O194" s="284">
        <f>E194*110%</f>
        <v>1.1000000000000001</v>
      </c>
      <c r="P194" s="284">
        <f>E194*456%</f>
        <v>4.5599999999999996</v>
      </c>
      <c r="Q194" s="284">
        <v>950</v>
      </c>
      <c r="R194" s="284">
        <f>C194/1000*950</f>
        <v>0.95000000000000007</v>
      </c>
    </row>
    <row r="195" spans="1:18" ht="18.75" x14ac:dyDescent="0.3">
      <c r="A195" s="33"/>
      <c r="B195" s="284" t="s">
        <v>67</v>
      </c>
      <c r="C195" s="284">
        <v>15</v>
      </c>
      <c r="D195" s="284">
        <v>0</v>
      </c>
      <c r="E195" s="284">
        <v>15</v>
      </c>
      <c r="F195" s="284">
        <v>0</v>
      </c>
      <c r="G195" s="284">
        <v>0</v>
      </c>
      <c r="H195" s="284">
        <f>E195*99.8%</f>
        <v>14.97</v>
      </c>
      <c r="I195" s="284">
        <f>E195*379%</f>
        <v>56.85</v>
      </c>
      <c r="J195" s="284">
        <v>0</v>
      </c>
      <c r="K195" s="284">
        <v>0</v>
      </c>
      <c r="L195" s="284">
        <v>0</v>
      </c>
      <c r="M195" s="284">
        <f>E195*2%</f>
        <v>0.3</v>
      </c>
      <c r="N195" s="284">
        <v>0</v>
      </c>
      <c r="O195" s="284">
        <v>0</v>
      </c>
      <c r="P195" s="284">
        <f>E195*0.3%</f>
        <v>4.4999999999999998E-2</v>
      </c>
      <c r="Q195" s="284">
        <v>60</v>
      </c>
      <c r="R195" s="284">
        <f>C195/1000*60</f>
        <v>0.89999999999999991</v>
      </c>
    </row>
    <row r="196" spans="1:18" ht="18.75" x14ac:dyDescent="0.3">
      <c r="A196" s="33"/>
      <c r="B196" s="27" t="s">
        <v>68</v>
      </c>
      <c r="C196" s="4">
        <f>SUM(C194:C195)</f>
        <v>16</v>
      </c>
      <c r="D196" s="4">
        <f>SUM(D195:D195)</f>
        <v>0</v>
      </c>
      <c r="E196" s="4">
        <v>150</v>
      </c>
      <c r="F196" s="4">
        <f t="shared" ref="F196:P196" si="26">SUM(F195:F195)</f>
        <v>0</v>
      </c>
      <c r="G196" s="4">
        <f t="shared" si="26"/>
        <v>0</v>
      </c>
      <c r="H196" s="4">
        <f t="shared" si="26"/>
        <v>14.97</v>
      </c>
      <c r="I196" s="4">
        <f t="shared" si="26"/>
        <v>56.85</v>
      </c>
      <c r="J196" s="4">
        <f t="shared" si="26"/>
        <v>0</v>
      </c>
      <c r="K196" s="4">
        <f t="shared" si="26"/>
        <v>0</v>
      </c>
      <c r="L196" s="4">
        <f t="shared" si="26"/>
        <v>0</v>
      </c>
      <c r="M196" s="4">
        <f t="shared" si="26"/>
        <v>0.3</v>
      </c>
      <c r="N196" s="4">
        <f t="shared" si="26"/>
        <v>0</v>
      </c>
      <c r="O196" s="4">
        <f t="shared" si="26"/>
        <v>0</v>
      </c>
      <c r="P196" s="4">
        <f t="shared" si="26"/>
        <v>4.4999999999999998E-2</v>
      </c>
      <c r="Q196" s="4"/>
      <c r="R196" s="4">
        <f>SUM(R194:R195)</f>
        <v>1.85</v>
      </c>
    </row>
    <row r="197" spans="1:18" ht="18.75" x14ac:dyDescent="0.3">
      <c r="A197" s="30"/>
      <c r="B197" s="122" t="s">
        <v>112</v>
      </c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4"/>
    </row>
    <row r="198" spans="1:18" ht="18.75" x14ac:dyDescent="0.3">
      <c r="A198" s="30"/>
      <c r="B198" s="27" t="s">
        <v>68</v>
      </c>
      <c r="C198" s="4">
        <v>40</v>
      </c>
      <c r="D198" s="4">
        <v>0</v>
      </c>
      <c r="E198" s="4">
        <f>C198-D198</f>
        <v>40</v>
      </c>
      <c r="F198" s="2">
        <f>E198*7.5%</f>
        <v>3</v>
      </c>
      <c r="G198" s="284">
        <f>E198*11.8%</f>
        <v>4.7200000000000006</v>
      </c>
      <c r="H198" s="284">
        <f>E198*74.4%</f>
        <v>29.760000000000005</v>
      </c>
      <c r="I198" s="284">
        <f>E198*436%</f>
        <v>174.4</v>
      </c>
      <c r="J198" s="284">
        <f>E198*0.08%</f>
        <v>3.2000000000000001E-2</v>
      </c>
      <c r="K198" s="284">
        <f>E198*0%</f>
        <v>0</v>
      </c>
      <c r="L198" s="284">
        <f>E198*0%</f>
        <v>0</v>
      </c>
      <c r="M198" s="284">
        <f>E198*29%</f>
        <v>11.6</v>
      </c>
      <c r="N198" s="284">
        <f>E198*90%</f>
        <v>36</v>
      </c>
      <c r="O198" s="284">
        <f>E198*20%</f>
        <v>8</v>
      </c>
      <c r="P198" s="284">
        <f>E198*2.1%</f>
        <v>0.84000000000000008</v>
      </c>
      <c r="Q198" s="284">
        <v>160</v>
      </c>
      <c r="R198" s="4">
        <f>C198/1000*160</f>
        <v>6.4</v>
      </c>
    </row>
    <row r="199" spans="1:18" ht="24.75" customHeight="1" x14ac:dyDescent="0.35">
      <c r="A199" s="30"/>
      <c r="B199" s="160" t="s">
        <v>109</v>
      </c>
      <c r="C199" s="137"/>
      <c r="D199" s="137"/>
      <c r="E199" s="137"/>
      <c r="F199" s="137"/>
      <c r="G199" s="137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8"/>
    </row>
    <row r="200" spans="1:18" ht="18.75" x14ac:dyDescent="0.3">
      <c r="A200" s="30"/>
      <c r="B200" s="27" t="s">
        <v>68</v>
      </c>
      <c r="C200" s="4">
        <v>120</v>
      </c>
      <c r="D200" s="4">
        <v>0</v>
      </c>
      <c r="E200" s="4">
        <v>125</v>
      </c>
      <c r="F200" s="4">
        <f>E200*0.4%</f>
        <v>0.5</v>
      </c>
      <c r="G200" s="4">
        <f>E200*0.4%</f>
        <v>0.5</v>
      </c>
      <c r="H200" s="4">
        <f>E200*9.8%</f>
        <v>12.25</v>
      </c>
      <c r="I200" s="4">
        <f>E200*45%</f>
        <v>56.25</v>
      </c>
      <c r="J200" s="4">
        <f>E200*0.03%</f>
        <v>3.7499999999999999E-2</v>
      </c>
      <c r="K200" s="4">
        <f>E200*13%</f>
        <v>16.25</v>
      </c>
      <c r="L200" s="4">
        <v>0</v>
      </c>
      <c r="M200" s="4">
        <f>E200*16%</f>
        <v>20</v>
      </c>
      <c r="N200" s="4">
        <f>E200*11%</f>
        <v>13.75</v>
      </c>
      <c r="O200" s="4">
        <f>E200*9%</f>
        <v>11.25</v>
      </c>
      <c r="P200" s="4">
        <f>E200*2.2%</f>
        <v>2.7500000000000004</v>
      </c>
      <c r="Q200" s="4">
        <v>100</v>
      </c>
      <c r="R200" s="4">
        <f>C200/1000*100</f>
        <v>12</v>
      </c>
    </row>
    <row r="201" spans="1:18" ht="21" x14ac:dyDescent="0.35">
      <c r="A201" s="30"/>
      <c r="B201" s="165" t="s">
        <v>103</v>
      </c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7"/>
    </row>
    <row r="202" spans="1:18" ht="18.75" x14ac:dyDescent="0.3">
      <c r="A202" s="30"/>
      <c r="B202" s="27" t="s">
        <v>68</v>
      </c>
      <c r="C202" s="23">
        <v>3</v>
      </c>
      <c r="D202" s="4">
        <v>0</v>
      </c>
      <c r="E202" s="23">
        <f>C202-D202</f>
        <v>3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20</v>
      </c>
      <c r="R202" s="23">
        <f>C202/1000*20</f>
        <v>0.06</v>
      </c>
    </row>
    <row r="203" spans="1:18" ht="23.25" x14ac:dyDescent="0.35">
      <c r="A203" s="33"/>
      <c r="B203" s="21" t="s">
        <v>68</v>
      </c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>
        <f>R202+R200+R198+R196+R192+R190+R183</f>
        <v>61.006</v>
      </c>
    </row>
    <row r="204" spans="1:18" ht="51.75" customHeight="1" x14ac:dyDescent="0.3">
      <c r="A204" s="34"/>
    </row>
    <row r="205" spans="1:18" ht="34.5" customHeight="1" x14ac:dyDescent="0.3">
      <c r="A205" s="34"/>
    </row>
    <row r="206" spans="1:18" ht="35.25" customHeight="1" x14ac:dyDescent="0.3">
      <c r="A206" s="34"/>
    </row>
    <row r="207" spans="1:18" ht="18.75" x14ac:dyDescent="0.3">
      <c r="A207" s="34"/>
    </row>
    <row r="208" spans="1:18" ht="18.75" x14ac:dyDescent="0.3">
      <c r="A208" s="34"/>
    </row>
    <row r="209" spans="1:18" ht="18.75" x14ac:dyDescent="0.25">
      <c r="A209" s="131"/>
      <c r="B209" s="142" t="s">
        <v>0</v>
      </c>
      <c r="C209" s="133" t="s">
        <v>94</v>
      </c>
      <c r="D209" s="181" t="s">
        <v>20</v>
      </c>
      <c r="E209" s="181" t="s">
        <v>19</v>
      </c>
      <c r="F209" s="139" t="s">
        <v>1</v>
      </c>
      <c r="G209" s="139" t="s">
        <v>2</v>
      </c>
      <c r="H209" s="128" t="s">
        <v>3</v>
      </c>
      <c r="I209" s="139" t="s">
        <v>4</v>
      </c>
      <c r="J209" s="156" t="s">
        <v>5</v>
      </c>
      <c r="K209" s="156"/>
      <c r="L209" s="156"/>
      <c r="M209" s="156" t="s">
        <v>6</v>
      </c>
      <c r="N209" s="156"/>
      <c r="O209" s="156"/>
      <c r="P209" s="156"/>
      <c r="Q209" s="139" t="s">
        <v>65</v>
      </c>
      <c r="R209" s="184" t="s">
        <v>115</v>
      </c>
    </row>
    <row r="210" spans="1:18" x14ac:dyDescent="0.25">
      <c r="A210" s="132"/>
      <c r="B210" s="142"/>
      <c r="C210" s="134"/>
      <c r="D210" s="182"/>
      <c r="E210" s="182"/>
      <c r="F210" s="140"/>
      <c r="G210" s="140"/>
      <c r="H210" s="129"/>
      <c r="I210" s="140"/>
      <c r="J210" s="139" t="s">
        <v>7</v>
      </c>
      <c r="K210" s="181" t="s">
        <v>8</v>
      </c>
      <c r="L210" s="139" t="s">
        <v>9</v>
      </c>
      <c r="M210" s="139" t="s">
        <v>10</v>
      </c>
      <c r="N210" s="139" t="s">
        <v>11</v>
      </c>
      <c r="O210" s="139" t="s">
        <v>12</v>
      </c>
      <c r="P210" s="139" t="s">
        <v>13</v>
      </c>
      <c r="Q210" s="140"/>
      <c r="R210" s="185"/>
    </row>
    <row r="211" spans="1:18" ht="18.75" x14ac:dyDescent="0.3">
      <c r="A211" s="44"/>
      <c r="B211" s="42" t="s">
        <v>83</v>
      </c>
      <c r="C211" s="135"/>
      <c r="D211" s="183"/>
      <c r="E211" s="183"/>
      <c r="F211" s="141"/>
      <c r="G211" s="141"/>
      <c r="H211" s="130"/>
      <c r="I211" s="141"/>
      <c r="J211" s="141"/>
      <c r="K211" s="183"/>
      <c r="L211" s="141"/>
      <c r="M211" s="141"/>
      <c r="N211" s="141"/>
      <c r="O211" s="141"/>
      <c r="P211" s="141"/>
      <c r="Q211" s="141"/>
      <c r="R211" s="186"/>
    </row>
    <row r="212" spans="1:18" ht="21" x14ac:dyDescent="0.25">
      <c r="A212" s="125" t="s">
        <v>91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7"/>
    </row>
    <row r="213" spans="1:18" ht="18.75" x14ac:dyDescent="0.25">
      <c r="A213" s="99"/>
      <c r="B213" s="278" t="s">
        <v>15</v>
      </c>
      <c r="C213" s="292">
        <v>15</v>
      </c>
      <c r="D213" s="292">
        <f>C213*0.2</f>
        <v>3</v>
      </c>
      <c r="E213" s="292">
        <f>C213-D213</f>
        <v>12</v>
      </c>
      <c r="F213" s="292">
        <f>E213*1.3%</f>
        <v>0.15600000000000003</v>
      </c>
      <c r="G213" s="292">
        <f>E213*0.001</f>
        <v>1.2E-2</v>
      </c>
      <c r="H213" s="292">
        <f>E213*0.072</f>
        <v>0.86399999999999988</v>
      </c>
      <c r="I213" s="292">
        <f>E213*0.3</f>
        <v>3.5999999999999996</v>
      </c>
      <c r="J213" s="292">
        <f>E213*0.06%</f>
        <v>7.1999999999999998E-3</v>
      </c>
      <c r="K213" s="292">
        <f>E213*5%</f>
        <v>0.60000000000000009</v>
      </c>
      <c r="L213" s="292">
        <v>0</v>
      </c>
      <c r="M213" s="292">
        <f>E213*51%</f>
        <v>6.12</v>
      </c>
      <c r="N213" s="292">
        <f>E213*55%</f>
        <v>6.6000000000000005</v>
      </c>
      <c r="O213" s="292">
        <f>E213*38%</f>
        <v>4.5600000000000005</v>
      </c>
      <c r="P213" s="292">
        <f>E213*0.7%</f>
        <v>8.3999999999999991E-2</v>
      </c>
      <c r="Q213" s="292">
        <v>60</v>
      </c>
      <c r="R213" s="292">
        <f>C213/1000*60</f>
        <v>0.89999999999999991</v>
      </c>
    </row>
    <row r="214" spans="1:18" ht="18.75" x14ac:dyDescent="0.25">
      <c r="A214" s="74"/>
      <c r="B214" s="279" t="s">
        <v>76</v>
      </c>
      <c r="C214" s="290">
        <v>5</v>
      </c>
      <c r="D214" s="290">
        <v>0</v>
      </c>
      <c r="E214" s="290">
        <f>C214-D214</f>
        <v>5</v>
      </c>
      <c r="F214" s="290">
        <v>0</v>
      </c>
      <c r="G214" s="291">
        <f>E214*0.999</f>
        <v>4.9950000000000001</v>
      </c>
      <c r="H214" s="290">
        <v>0</v>
      </c>
      <c r="I214" s="290">
        <f>E214*8.99</f>
        <v>44.95</v>
      </c>
      <c r="J214" s="290">
        <f>E214*0.06%</f>
        <v>2.9999999999999996E-3</v>
      </c>
      <c r="K214" s="290">
        <v>0</v>
      </c>
      <c r="L214" s="290">
        <v>0</v>
      </c>
      <c r="M214" s="290">
        <v>0</v>
      </c>
      <c r="N214" s="290">
        <v>0</v>
      </c>
      <c r="O214" s="290">
        <v>0</v>
      </c>
      <c r="P214" s="290">
        <v>0</v>
      </c>
      <c r="Q214" s="290">
        <v>180</v>
      </c>
      <c r="R214" s="290">
        <f>C214/1000*180</f>
        <v>0.9</v>
      </c>
    </row>
    <row r="215" spans="1:18" ht="18.75" x14ac:dyDescent="0.25">
      <c r="A215" s="74"/>
      <c r="B215" s="278" t="s">
        <v>16</v>
      </c>
      <c r="C215" s="292">
        <v>25</v>
      </c>
      <c r="D215" s="292">
        <f>C215*0.2</f>
        <v>5</v>
      </c>
      <c r="E215" s="292">
        <f>C215-D215</f>
        <v>20</v>
      </c>
      <c r="F215" s="292">
        <f>E215*0.018</f>
        <v>0.36</v>
      </c>
      <c r="G215" s="292">
        <f>E215*0.001</f>
        <v>0.02</v>
      </c>
      <c r="H215" s="292">
        <f>E215*0.047</f>
        <v>0.94</v>
      </c>
      <c r="I215" s="292">
        <f>E215*0.27</f>
        <v>5.4</v>
      </c>
      <c r="J215" s="292">
        <f>E215*0.03%</f>
        <v>5.9999999999999993E-3</v>
      </c>
      <c r="K215" s="292">
        <f>E215*45%</f>
        <v>9</v>
      </c>
      <c r="L215" s="292">
        <v>0</v>
      </c>
      <c r="M215" s="292">
        <f>E215*48%</f>
        <v>9.6</v>
      </c>
      <c r="N215" s="292">
        <f>E215*31%</f>
        <v>6.2</v>
      </c>
      <c r="O215" s="292">
        <f>E215*16%</f>
        <v>3.2</v>
      </c>
      <c r="P215" s="292">
        <f>E215*0.6%</f>
        <v>0.12</v>
      </c>
      <c r="Q215" s="292">
        <v>30</v>
      </c>
      <c r="R215" s="292">
        <f>C215/1000*30</f>
        <v>0.75</v>
      </c>
    </row>
    <row r="216" spans="1:18" ht="21" customHeight="1" x14ac:dyDescent="0.25">
      <c r="A216" s="74"/>
      <c r="B216" s="278" t="s">
        <v>17</v>
      </c>
      <c r="C216" s="292">
        <v>3</v>
      </c>
      <c r="D216" s="292">
        <v>0</v>
      </c>
      <c r="E216" s="292">
        <f>C216-D216</f>
        <v>3</v>
      </c>
      <c r="F216" s="292">
        <v>0</v>
      </c>
      <c r="G216" s="292">
        <f>E216*0.999</f>
        <v>2.9969999999999999</v>
      </c>
      <c r="H216" s="292">
        <v>0</v>
      </c>
      <c r="I216" s="292">
        <f>E216*8.99%</f>
        <v>0.26970000000000005</v>
      </c>
      <c r="J216" s="292">
        <f>E216*0.06%</f>
        <v>1.8E-3</v>
      </c>
      <c r="K216" s="292">
        <v>0</v>
      </c>
      <c r="L216" s="292">
        <v>0</v>
      </c>
      <c r="M216" s="292">
        <v>0</v>
      </c>
      <c r="N216" s="292">
        <v>0</v>
      </c>
      <c r="O216" s="292">
        <v>0</v>
      </c>
      <c r="P216" s="292">
        <v>0</v>
      </c>
      <c r="Q216" s="292">
        <v>150</v>
      </c>
      <c r="R216" s="292">
        <f>C216/1000*150</f>
        <v>0.45</v>
      </c>
    </row>
    <row r="217" spans="1:18" ht="18.75" x14ac:dyDescent="0.3">
      <c r="A217" s="90"/>
      <c r="B217" s="91" t="s">
        <v>68</v>
      </c>
      <c r="C217" s="92">
        <f>SUM(C213:C216)</f>
        <v>48</v>
      </c>
      <c r="D217" s="92">
        <f t="shared" ref="D217:P217" si="27">SUM(D213:D216)</f>
        <v>8</v>
      </c>
      <c r="E217" s="92">
        <f t="shared" si="27"/>
        <v>40</v>
      </c>
      <c r="F217" s="92">
        <f t="shared" si="27"/>
        <v>0.51600000000000001</v>
      </c>
      <c r="G217" s="92">
        <f t="shared" si="27"/>
        <v>8.0239999999999991</v>
      </c>
      <c r="H217" s="92">
        <f t="shared" si="27"/>
        <v>1.8039999999999998</v>
      </c>
      <c r="I217" s="92">
        <f t="shared" si="27"/>
        <v>54.219700000000003</v>
      </c>
      <c r="J217" s="92">
        <f t="shared" si="27"/>
        <v>1.7999999999999999E-2</v>
      </c>
      <c r="K217" s="92">
        <f t="shared" si="27"/>
        <v>9.6</v>
      </c>
      <c r="L217" s="92">
        <f t="shared" si="27"/>
        <v>0</v>
      </c>
      <c r="M217" s="92">
        <f t="shared" si="27"/>
        <v>15.719999999999999</v>
      </c>
      <c r="N217" s="92">
        <f t="shared" si="27"/>
        <v>12.8</v>
      </c>
      <c r="O217" s="92">
        <f t="shared" si="27"/>
        <v>7.7600000000000007</v>
      </c>
      <c r="P217" s="92">
        <f t="shared" si="27"/>
        <v>0.20399999999999999</v>
      </c>
      <c r="Q217" s="92"/>
      <c r="R217" s="92">
        <f t="shared" ref="R217" si="28">SUM(R213:R216)</f>
        <v>3</v>
      </c>
    </row>
    <row r="218" spans="1:18" ht="21" x14ac:dyDescent="0.35">
      <c r="A218" s="22"/>
      <c r="B218" s="119" t="s">
        <v>129</v>
      </c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155"/>
    </row>
    <row r="219" spans="1:18" ht="18.75" x14ac:dyDescent="0.3">
      <c r="A219" s="22"/>
      <c r="B219" s="283" t="s">
        <v>21</v>
      </c>
      <c r="C219" s="284">
        <v>45</v>
      </c>
      <c r="D219" s="284">
        <v>0</v>
      </c>
      <c r="E219" s="284">
        <f>C219-D219</f>
        <v>45</v>
      </c>
      <c r="F219" s="284">
        <f>E219*12.6%</f>
        <v>5.67</v>
      </c>
      <c r="G219" s="284">
        <f>E219*3.3%</f>
        <v>1.4850000000000001</v>
      </c>
      <c r="H219" s="284">
        <f>E219*62.1%</f>
        <v>27.945</v>
      </c>
      <c r="I219" s="284">
        <f>E219*335%</f>
        <v>150.75</v>
      </c>
      <c r="J219" s="284">
        <f>E219*0.43%</f>
        <v>0.19350000000000001</v>
      </c>
      <c r="K219" s="284">
        <v>0</v>
      </c>
      <c r="L219" s="284">
        <v>0</v>
      </c>
      <c r="M219" s="284">
        <f>E219*20%</f>
        <v>9</v>
      </c>
      <c r="N219" s="284">
        <f>E219*298%</f>
        <v>134.1</v>
      </c>
      <c r="O219" s="284">
        <f>E219*200%</f>
        <v>90</v>
      </c>
      <c r="P219" s="284">
        <f>E219*6.7%</f>
        <v>3.0150000000000001</v>
      </c>
      <c r="Q219" s="284">
        <v>85</v>
      </c>
      <c r="R219" s="4">
        <f>C219/1000*85</f>
        <v>3.8249999999999997</v>
      </c>
    </row>
    <row r="220" spans="1:18" ht="18.75" x14ac:dyDescent="0.3">
      <c r="A220" s="22"/>
      <c r="B220" s="283" t="s">
        <v>22</v>
      </c>
      <c r="C220" s="284">
        <v>10</v>
      </c>
      <c r="D220" s="284">
        <v>0</v>
      </c>
      <c r="E220" s="284">
        <f>C220-D220</f>
        <v>10</v>
      </c>
      <c r="F220" s="284">
        <f>E220*0.5%</f>
        <v>0.05</v>
      </c>
      <c r="G220" s="284">
        <f>E220*82.5%</f>
        <v>8.25</v>
      </c>
      <c r="H220" s="284">
        <f>E220*0.8%</f>
        <v>0.08</v>
      </c>
      <c r="I220" s="284">
        <f>E220*748%</f>
        <v>74.800000000000011</v>
      </c>
      <c r="J220" s="284">
        <v>0</v>
      </c>
      <c r="K220" s="284">
        <v>0</v>
      </c>
      <c r="L220" s="284">
        <f>E220*0.59%</f>
        <v>5.8999999999999997E-2</v>
      </c>
      <c r="M220" s="284">
        <f>E220*12%</f>
        <v>1.2</v>
      </c>
      <c r="N220" s="284">
        <f>E220*19%</f>
        <v>1.9</v>
      </c>
      <c r="O220" s="284">
        <f>E220*0.4%</f>
        <v>0.04</v>
      </c>
      <c r="P220" s="284">
        <f>E220*0.2%</f>
        <v>0.02</v>
      </c>
      <c r="Q220" s="284">
        <v>480</v>
      </c>
      <c r="R220" s="4">
        <f>C220/1000*480</f>
        <v>4.8</v>
      </c>
    </row>
    <row r="221" spans="1:18" ht="18.75" x14ac:dyDescent="0.3">
      <c r="A221" s="22"/>
      <c r="B221" s="22" t="s">
        <v>68</v>
      </c>
      <c r="C221" s="4">
        <f>C220+C219</f>
        <v>55</v>
      </c>
      <c r="D221" s="4">
        <v>0</v>
      </c>
      <c r="E221" s="4">
        <v>110</v>
      </c>
      <c r="F221" s="4">
        <f t="shared" ref="F221:P221" si="29">SUM(F219:F220)</f>
        <v>5.72</v>
      </c>
      <c r="G221" s="4">
        <f t="shared" si="29"/>
        <v>9.7349999999999994</v>
      </c>
      <c r="H221" s="4">
        <f t="shared" si="29"/>
        <v>28.024999999999999</v>
      </c>
      <c r="I221" s="4">
        <f t="shared" si="29"/>
        <v>225.55</v>
      </c>
      <c r="J221" s="4">
        <f t="shared" si="29"/>
        <v>0.19350000000000001</v>
      </c>
      <c r="K221" s="4">
        <f t="shared" si="29"/>
        <v>0</v>
      </c>
      <c r="L221" s="4">
        <f t="shared" si="29"/>
        <v>5.8999999999999997E-2</v>
      </c>
      <c r="M221" s="4">
        <f t="shared" si="29"/>
        <v>10.199999999999999</v>
      </c>
      <c r="N221" s="4">
        <f t="shared" si="29"/>
        <v>136</v>
      </c>
      <c r="O221" s="4">
        <f t="shared" si="29"/>
        <v>90.04</v>
      </c>
      <c r="P221" s="4">
        <f t="shared" si="29"/>
        <v>3.0350000000000001</v>
      </c>
      <c r="Q221" s="4"/>
      <c r="R221" s="4">
        <f t="shared" ref="R221" si="30">SUM(R219:R220)</f>
        <v>8.625</v>
      </c>
    </row>
    <row r="222" spans="1:18" ht="21" x14ac:dyDescent="0.35">
      <c r="A222" s="30"/>
      <c r="B222" s="119" t="s">
        <v>108</v>
      </c>
      <c r="C222" s="154"/>
      <c r="D222" s="154"/>
      <c r="E222" s="154"/>
      <c r="F222" s="154"/>
      <c r="G222" s="154"/>
      <c r="H222" s="154"/>
      <c r="I222" s="154"/>
      <c r="J222" s="154"/>
      <c r="K222" s="154"/>
      <c r="L222" s="154"/>
      <c r="M222" s="154"/>
      <c r="N222" s="154"/>
      <c r="O222" s="154"/>
      <c r="P222" s="154"/>
      <c r="Q222" s="154"/>
      <c r="R222" s="155"/>
    </row>
    <row r="223" spans="1:18" ht="18.75" x14ac:dyDescent="0.3">
      <c r="A223" s="30"/>
      <c r="B223" s="283" t="s">
        <v>73</v>
      </c>
      <c r="C223" s="284">
        <v>90</v>
      </c>
      <c r="D223" s="284">
        <f>C223*25%</f>
        <v>22.5</v>
      </c>
      <c r="E223" s="284">
        <f>C223-D223</f>
        <v>67.5</v>
      </c>
      <c r="F223" s="284">
        <f>E223*18.2%</f>
        <v>12.285</v>
      </c>
      <c r="G223" s="284">
        <f>E223*18.4%</f>
        <v>12.42</v>
      </c>
      <c r="H223" s="284">
        <f>E223*0.7%</f>
        <v>0.47249999999999998</v>
      </c>
      <c r="I223" s="284">
        <f>E223*241%</f>
        <v>162.67500000000001</v>
      </c>
      <c r="J223" s="284">
        <f>E223*0.07%</f>
        <v>4.7250000000000007E-2</v>
      </c>
      <c r="K223" s="284">
        <v>0</v>
      </c>
      <c r="L223" s="284">
        <f>E223*0.07%</f>
        <v>4.7250000000000007E-2</v>
      </c>
      <c r="M223" s="284">
        <f>E223*16%</f>
        <v>10.8</v>
      </c>
      <c r="N223" s="284">
        <f>E223*165%</f>
        <v>111.375</v>
      </c>
      <c r="O223" s="284">
        <f>E223*18%</f>
        <v>12.15</v>
      </c>
      <c r="P223" s="284">
        <f>E223*1.6%</f>
        <v>1.08</v>
      </c>
      <c r="Q223" s="284">
        <v>270</v>
      </c>
      <c r="R223" s="284">
        <f>C223/1000*270</f>
        <v>24.3</v>
      </c>
    </row>
    <row r="224" spans="1:18" ht="18.75" x14ac:dyDescent="0.3">
      <c r="A224" s="30"/>
      <c r="B224" s="27" t="s">
        <v>68</v>
      </c>
      <c r="C224" s="4">
        <f>SUM(C223:C223)</f>
        <v>90</v>
      </c>
      <c r="D224" s="4">
        <f>SUM(D223:D223)</f>
        <v>22.5</v>
      </c>
      <c r="E224" s="4">
        <f>C224-D224</f>
        <v>67.5</v>
      </c>
      <c r="F224" s="4">
        <f t="shared" ref="F224:R224" si="31">SUM(F223:F223)</f>
        <v>12.285</v>
      </c>
      <c r="G224" s="4">
        <f t="shared" si="31"/>
        <v>12.42</v>
      </c>
      <c r="H224" s="4">
        <f t="shared" si="31"/>
        <v>0.47249999999999998</v>
      </c>
      <c r="I224" s="4">
        <f t="shared" si="31"/>
        <v>162.67500000000001</v>
      </c>
      <c r="J224" s="4">
        <f t="shared" si="31"/>
        <v>4.7250000000000007E-2</v>
      </c>
      <c r="K224" s="4">
        <f t="shared" si="31"/>
        <v>0</v>
      </c>
      <c r="L224" s="4">
        <f t="shared" si="31"/>
        <v>4.7250000000000007E-2</v>
      </c>
      <c r="M224" s="4">
        <f t="shared" si="31"/>
        <v>10.8</v>
      </c>
      <c r="N224" s="4">
        <f t="shared" si="31"/>
        <v>111.375</v>
      </c>
      <c r="O224" s="4">
        <f t="shared" si="31"/>
        <v>12.15</v>
      </c>
      <c r="P224" s="4">
        <f t="shared" si="31"/>
        <v>1.08</v>
      </c>
      <c r="Q224" s="4"/>
      <c r="R224" s="4">
        <f t="shared" si="31"/>
        <v>24.3</v>
      </c>
    </row>
    <row r="225" spans="1:18" ht="21" x14ac:dyDescent="0.35">
      <c r="A225" s="30"/>
      <c r="B225" s="160" t="s">
        <v>104</v>
      </c>
      <c r="C225" s="137"/>
      <c r="D225" s="137"/>
      <c r="E225" s="137"/>
      <c r="F225" s="137"/>
      <c r="G225" s="137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8"/>
    </row>
    <row r="226" spans="1:18" ht="18.75" x14ac:dyDescent="0.3">
      <c r="A226" s="30"/>
      <c r="B226" s="27" t="s">
        <v>68</v>
      </c>
      <c r="C226" s="4">
        <v>30</v>
      </c>
      <c r="D226" s="4">
        <v>0</v>
      </c>
      <c r="E226" s="4">
        <v>30</v>
      </c>
      <c r="F226" s="4">
        <f>E226*7.9%</f>
        <v>2.37</v>
      </c>
      <c r="G226" s="4">
        <f>E226*1%</f>
        <v>0.3</v>
      </c>
      <c r="H226" s="4">
        <f>E226*48.1%</f>
        <v>14.430000000000001</v>
      </c>
      <c r="I226" s="4">
        <f>E226*239%</f>
        <v>71.7</v>
      </c>
      <c r="J226" s="4">
        <f>E226*0.16%</f>
        <v>4.8000000000000001E-2</v>
      </c>
      <c r="K226" s="4">
        <v>0</v>
      </c>
      <c r="L226" s="4">
        <v>0</v>
      </c>
      <c r="M226" s="4">
        <f>E226*23%</f>
        <v>6.9</v>
      </c>
      <c r="N226" s="4">
        <f>E226*87%</f>
        <v>26.1</v>
      </c>
      <c r="O226" s="4">
        <f>E226*33%</f>
        <v>9.9</v>
      </c>
      <c r="P226" s="4">
        <f>E226*2%</f>
        <v>0.6</v>
      </c>
      <c r="Q226" s="4">
        <v>50</v>
      </c>
      <c r="R226" s="4">
        <f>C226/1000*50</f>
        <v>1.5</v>
      </c>
    </row>
    <row r="227" spans="1:18" ht="21" x14ac:dyDescent="0.35">
      <c r="A227" s="30"/>
      <c r="B227" s="160" t="s">
        <v>105</v>
      </c>
      <c r="C227" s="137"/>
      <c r="D227" s="137"/>
      <c r="E227" s="137"/>
      <c r="F227" s="137"/>
      <c r="G227" s="137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8"/>
    </row>
    <row r="228" spans="1:18" ht="24.75" customHeight="1" x14ac:dyDescent="0.3">
      <c r="A228" s="30"/>
      <c r="B228" s="284" t="s">
        <v>51</v>
      </c>
      <c r="C228" s="284">
        <v>1</v>
      </c>
      <c r="D228" s="284">
        <v>0</v>
      </c>
      <c r="E228" s="284">
        <f>C228-D228</f>
        <v>1</v>
      </c>
      <c r="F228" s="284">
        <f>E228*21.74%</f>
        <v>0.21739999999999998</v>
      </c>
      <c r="G228" s="284">
        <f>E228*7.61%</f>
        <v>7.6100000000000001E-2</v>
      </c>
      <c r="H228" s="284">
        <f>E228*2.86%</f>
        <v>2.86E-2</v>
      </c>
      <c r="I228" s="284">
        <f>E228*9.18%</f>
        <v>9.1799999999999993E-2</v>
      </c>
      <c r="J228" s="284">
        <f>E228*4.7%</f>
        <v>4.7E-2</v>
      </c>
      <c r="K228" s="284">
        <f>E228*11%</f>
        <v>0.11</v>
      </c>
      <c r="L228" s="284">
        <f>E228*5.6%</f>
        <v>5.5999999999999994E-2</v>
      </c>
      <c r="M228" s="284">
        <f>E228*50%</f>
        <v>0.5</v>
      </c>
      <c r="N228" s="284">
        <f>E228*10%</f>
        <v>0.1</v>
      </c>
      <c r="O228" s="284">
        <f>E228*110%</f>
        <v>1.1000000000000001</v>
      </c>
      <c r="P228" s="284">
        <f>E228*456%</f>
        <v>4.5599999999999996</v>
      </c>
      <c r="Q228" s="284">
        <v>950</v>
      </c>
      <c r="R228" s="284">
        <f>C228/1000*950</f>
        <v>0.95000000000000007</v>
      </c>
    </row>
    <row r="229" spans="1:18" ht="24.75" customHeight="1" x14ac:dyDescent="0.3">
      <c r="A229" s="30"/>
      <c r="B229" s="284" t="s">
        <v>67</v>
      </c>
      <c r="C229" s="284">
        <v>15</v>
      </c>
      <c r="D229" s="284">
        <v>0</v>
      </c>
      <c r="E229" s="284">
        <v>15</v>
      </c>
      <c r="F229" s="284">
        <v>0</v>
      </c>
      <c r="G229" s="284">
        <v>0</v>
      </c>
      <c r="H229" s="284">
        <f>E229*99.8%</f>
        <v>14.97</v>
      </c>
      <c r="I229" s="284">
        <f>E229*379%</f>
        <v>56.85</v>
      </c>
      <c r="J229" s="284">
        <v>0</v>
      </c>
      <c r="K229" s="284">
        <v>0</v>
      </c>
      <c r="L229" s="284">
        <v>0</v>
      </c>
      <c r="M229" s="284">
        <f>E229*2%</f>
        <v>0.3</v>
      </c>
      <c r="N229" s="284">
        <v>0</v>
      </c>
      <c r="O229" s="284">
        <v>0</v>
      </c>
      <c r="P229" s="284">
        <f>E229*0.3%</f>
        <v>4.4999999999999998E-2</v>
      </c>
      <c r="Q229" s="284">
        <v>60</v>
      </c>
      <c r="R229" s="284">
        <f>C229/1000*60</f>
        <v>0.89999999999999991</v>
      </c>
    </row>
    <row r="230" spans="1:18" ht="18.75" x14ac:dyDescent="0.3">
      <c r="A230" s="30"/>
      <c r="B230" s="27" t="s">
        <v>68</v>
      </c>
      <c r="C230" s="4">
        <v>16</v>
      </c>
      <c r="D230" s="4">
        <f>SUM(D229:D229)</f>
        <v>0</v>
      </c>
      <c r="E230" s="4">
        <v>150</v>
      </c>
      <c r="F230" s="4">
        <f t="shared" ref="F230:P230" si="32">SUM(F229:F229)</f>
        <v>0</v>
      </c>
      <c r="G230" s="4">
        <f t="shared" si="32"/>
        <v>0</v>
      </c>
      <c r="H230" s="4">
        <f t="shared" si="32"/>
        <v>14.97</v>
      </c>
      <c r="I230" s="4">
        <f t="shared" si="32"/>
        <v>56.85</v>
      </c>
      <c r="J230" s="4">
        <f t="shared" si="32"/>
        <v>0</v>
      </c>
      <c r="K230" s="4">
        <f t="shared" si="32"/>
        <v>0</v>
      </c>
      <c r="L230" s="4">
        <f t="shared" si="32"/>
        <v>0</v>
      </c>
      <c r="M230" s="4">
        <f t="shared" si="32"/>
        <v>0.3</v>
      </c>
      <c r="N230" s="4">
        <f t="shared" si="32"/>
        <v>0</v>
      </c>
      <c r="O230" s="4">
        <f t="shared" si="32"/>
        <v>0</v>
      </c>
      <c r="P230" s="4">
        <f t="shared" si="32"/>
        <v>4.4999999999999998E-2</v>
      </c>
      <c r="Q230" s="4"/>
      <c r="R230" s="4">
        <f>SUM(R228:R229)</f>
        <v>1.85</v>
      </c>
    </row>
    <row r="231" spans="1:18" ht="21" customHeight="1" x14ac:dyDescent="0.3">
      <c r="A231" s="30"/>
      <c r="B231" s="122" t="s">
        <v>112</v>
      </c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4"/>
    </row>
    <row r="232" spans="1:18" ht="18.75" x14ac:dyDescent="0.3">
      <c r="A232" s="30"/>
      <c r="B232" s="27" t="s">
        <v>68</v>
      </c>
      <c r="C232" s="4">
        <v>40</v>
      </c>
      <c r="D232" s="4">
        <v>0</v>
      </c>
      <c r="E232" s="4">
        <f>C232-D232</f>
        <v>40</v>
      </c>
      <c r="F232" s="2">
        <f>E232*7.5%</f>
        <v>3</v>
      </c>
      <c r="G232" s="2">
        <f>E232*11.8%</f>
        <v>4.7200000000000006</v>
      </c>
      <c r="H232" s="2">
        <f>E232*74.4%</f>
        <v>29.760000000000005</v>
      </c>
      <c r="I232" s="2">
        <f>E232*436%</f>
        <v>174.4</v>
      </c>
      <c r="J232" s="2">
        <f>E232*0.08%</f>
        <v>3.2000000000000001E-2</v>
      </c>
      <c r="K232" s="2">
        <f>E232*0%</f>
        <v>0</v>
      </c>
      <c r="L232" s="2">
        <f>E232*0%</f>
        <v>0</v>
      </c>
      <c r="M232" s="2">
        <f>E232*29%</f>
        <v>11.6</v>
      </c>
      <c r="N232" s="2">
        <f>E232*90%</f>
        <v>36</v>
      </c>
      <c r="O232" s="2">
        <f>E232*20%</f>
        <v>8</v>
      </c>
      <c r="P232" s="2">
        <f>E232*2.1%</f>
        <v>0.84000000000000008</v>
      </c>
      <c r="Q232" s="2">
        <v>160</v>
      </c>
      <c r="R232" s="4">
        <f>C232/1000*160</f>
        <v>6.4</v>
      </c>
    </row>
    <row r="233" spans="1:18" ht="23.25" customHeight="1" x14ac:dyDescent="0.35">
      <c r="A233" s="104"/>
      <c r="B233" s="249" t="s">
        <v>120</v>
      </c>
      <c r="C233" s="250"/>
      <c r="D233" s="250"/>
      <c r="E233" s="250"/>
      <c r="F233" s="250"/>
      <c r="G233" s="250"/>
      <c r="H233" s="250"/>
      <c r="I233" s="250"/>
      <c r="J233" s="250"/>
      <c r="K233" s="250"/>
      <c r="L233" s="250"/>
      <c r="M233" s="250"/>
      <c r="N233" s="250"/>
      <c r="O233" s="250"/>
      <c r="P233" s="250"/>
      <c r="Q233" s="250"/>
      <c r="R233" s="251"/>
    </row>
    <row r="234" spans="1:18" ht="18.75" x14ac:dyDescent="0.3">
      <c r="A234" s="104"/>
      <c r="B234" s="105" t="s">
        <v>68</v>
      </c>
      <c r="C234" s="106">
        <v>100</v>
      </c>
      <c r="D234" s="106">
        <v>0</v>
      </c>
      <c r="E234" s="106">
        <f>C234-D234</f>
        <v>100</v>
      </c>
      <c r="F234" s="106">
        <f>E234*1.5%</f>
        <v>1.5</v>
      </c>
      <c r="G234" s="106">
        <f>E234*0.5%</f>
        <v>0.5</v>
      </c>
      <c r="H234" s="106">
        <f>E234*21%</f>
        <v>21</v>
      </c>
      <c r="I234" s="106">
        <f>E234*96%</f>
        <v>96</v>
      </c>
      <c r="J234" s="106">
        <v>0</v>
      </c>
      <c r="K234" s="106">
        <v>8.6999999999999993</v>
      </c>
      <c r="L234" s="106">
        <v>3</v>
      </c>
      <c r="M234" s="106">
        <v>5</v>
      </c>
      <c r="N234" s="106">
        <v>22</v>
      </c>
      <c r="O234" s="106">
        <v>27</v>
      </c>
      <c r="P234" s="106">
        <v>0.3</v>
      </c>
      <c r="Q234" s="106">
        <v>150</v>
      </c>
      <c r="R234" s="106">
        <f>C234/1000*150</f>
        <v>15</v>
      </c>
    </row>
    <row r="235" spans="1:18" ht="21" x14ac:dyDescent="0.35">
      <c r="A235" s="107"/>
      <c r="B235" s="249" t="s">
        <v>106</v>
      </c>
      <c r="C235" s="179"/>
      <c r="D235" s="179"/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  <c r="O235" s="179"/>
      <c r="P235" s="179"/>
      <c r="Q235" s="179"/>
      <c r="R235" s="180"/>
    </row>
    <row r="236" spans="1:18" ht="18.75" x14ac:dyDescent="0.3">
      <c r="A236" s="107"/>
      <c r="B236" s="105" t="s">
        <v>68</v>
      </c>
      <c r="C236" s="108">
        <v>3</v>
      </c>
      <c r="D236" s="106">
        <v>0</v>
      </c>
      <c r="E236" s="108">
        <f>C236-D236</f>
        <v>3</v>
      </c>
      <c r="F236" s="106">
        <v>0</v>
      </c>
      <c r="G236" s="106">
        <v>0</v>
      </c>
      <c r="H236" s="106">
        <v>0</v>
      </c>
      <c r="I236" s="106">
        <v>0</v>
      </c>
      <c r="J236" s="106">
        <v>0</v>
      </c>
      <c r="K236" s="106">
        <v>0</v>
      </c>
      <c r="L236" s="106">
        <v>0</v>
      </c>
      <c r="M236" s="106">
        <v>0</v>
      </c>
      <c r="N236" s="106">
        <v>0</v>
      </c>
      <c r="O236" s="106">
        <v>0</v>
      </c>
      <c r="P236" s="106">
        <v>0</v>
      </c>
      <c r="Q236" s="106">
        <v>20</v>
      </c>
      <c r="R236" s="108">
        <f>C236/1000*20</f>
        <v>0.06</v>
      </c>
    </row>
    <row r="237" spans="1:18" ht="27" customHeight="1" x14ac:dyDescent="0.35">
      <c r="A237" s="107"/>
      <c r="B237" s="109" t="s">
        <v>68</v>
      </c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>
        <f>R236+R234+R232+R226+R224+R221+R217+R230</f>
        <v>60.735000000000007</v>
      </c>
    </row>
    <row r="238" spans="1:18" ht="23.25" customHeight="1" x14ac:dyDescent="0.35">
      <c r="A238" s="35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</row>
    <row r="239" spans="1:18" ht="23.25" customHeight="1" x14ac:dyDescent="0.35">
      <c r="A239" s="35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</row>
    <row r="240" spans="1:18" ht="23.25" customHeight="1" x14ac:dyDescent="0.35">
      <c r="A240" s="35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1:18" ht="23.25" x14ac:dyDescent="0.35">
      <c r="A241" s="35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</row>
    <row r="242" spans="1:18" ht="23.25" x14ac:dyDescent="0.35">
      <c r="A242" s="35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</row>
    <row r="243" spans="1:18" ht="23.25" x14ac:dyDescent="0.35">
      <c r="A243" s="35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</row>
    <row r="244" spans="1:18" ht="18.75" x14ac:dyDescent="0.25">
      <c r="A244" s="131"/>
      <c r="B244" s="142" t="s">
        <v>0</v>
      </c>
      <c r="C244" s="133" t="s">
        <v>94</v>
      </c>
      <c r="D244" s="181" t="s">
        <v>20</v>
      </c>
      <c r="E244" s="181" t="s">
        <v>19</v>
      </c>
      <c r="F244" s="139" t="s">
        <v>1</v>
      </c>
      <c r="G244" s="139" t="s">
        <v>2</v>
      </c>
      <c r="H244" s="128" t="s">
        <v>3</v>
      </c>
      <c r="I244" s="139" t="s">
        <v>4</v>
      </c>
      <c r="J244" s="156" t="s">
        <v>5</v>
      </c>
      <c r="K244" s="156"/>
      <c r="L244" s="156"/>
      <c r="M244" s="156" t="s">
        <v>6</v>
      </c>
      <c r="N244" s="156"/>
      <c r="O244" s="156"/>
      <c r="P244" s="156"/>
      <c r="Q244" s="139" t="s">
        <v>65</v>
      </c>
      <c r="R244" s="184" t="s">
        <v>115</v>
      </c>
    </row>
    <row r="245" spans="1:18" x14ac:dyDescent="0.25">
      <c r="A245" s="132"/>
      <c r="B245" s="142"/>
      <c r="C245" s="134"/>
      <c r="D245" s="182"/>
      <c r="E245" s="182"/>
      <c r="F245" s="140"/>
      <c r="G245" s="140"/>
      <c r="H245" s="129"/>
      <c r="I245" s="140"/>
      <c r="J245" s="139" t="s">
        <v>7</v>
      </c>
      <c r="K245" s="181" t="s">
        <v>8</v>
      </c>
      <c r="L245" s="139" t="s">
        <v>9</v>
      </c>
      <c r="M245" s="139" t="s">
        <v>10</v>
      </c>
      <c r="N245" s="139" t="s">
        <v>11</v>
      </c>
      <c r="O245" s="139" t="s">
        <v>12</v>
      </c>
      <c r="P245" s="139" t="s">
        <v>13</v>
      </c>
      <c r="Q245" s="140"/>
      <c r="R245" s="185"/>
    </row>
    <row r="246" spans="1:18" ht="18.75" x14ac:dyDescent="0.3">
      <c r="A246" s="44"/>
      <c r="B246" s="42" t="s">
        <v>84</v>
      </c>
      <c r="C246" s="135"/>
      <c r="D246" s="183"/>
      <c r="E246" s="183"/>
      <c r="F246" s="141"/>
      <c r="G246" s="141"/>
      <c r="H246" s="130"/>
      <c r="I246" s="141"/>
      <c r="J246" s="141"/>
      <c r="K246" s="183"/>
      <c r="L246" s="141"/>
      <c r="M246" s="141"/>
      <c r="N246" s="141"/>
      <c r="O246" s="141"/>
      <c r="P246" s="141"/>
      <c r="Q246" s="141"/>
      <c r="R246" s="186"/>
    </row>
    <row r="247" spans="1:18" s="83" customFormat="1" ht="21" customHeight="1" x14ac:dyDescent="0.35">
      <c r="A247" s="33"/>
      <c r="B247" s="211" t="s">
        <v>131</v>
      </c>
      <c r="C247" s="212"/>
      <c r="D247" s="212"/>
      <c r="E247" s="212"/>
      <c r="F247" s="212"/>
      <c r="G247" s="212"/>
      <c r="H247" s="212"/>
      <c r="I247" s="212"/>
      <c r="J247" s="212"/>
      <c r="K247" s="212"/>
      <c r="L247" s="212"/>
      <c r="M247" s="212"/>
      <c r="N247" s="212"/>
      <c r="O247" s="212"/>
      <c r="P247" s="212"/>
      <c r="Q247" s="212"/>
      <c r="R247" s="213"/>
    </row>
    <row r="248" spans="1:18" ht="18.75" x14ac:dyDescent="0.25">
      <c r="A248" s="93"/>
      <c r="B248" s="293" t="s">
        <v>122</v>
      </c>
      <c r="C248" s="290">
        <v>60</v>
      </c>
      <c r="D248" s="290">
        <f>C248*26.4%</f>
        <v>15.84</v>
      </c>
      <c r="E248" s="290">
        <f>SUM(C248-D248)</f>
        <v>44.16</v>
      </c>
      <c r="F248" s="290">
        <f>E248*18.6%</f>
        <v>8.2137600000000006</v>
      </c>
      <c r="G248" s="290">
        <f>E248*16%</f>
        <v>7.0655999999999999</v>
      </c>
      <c r="H248" s="290">
        <v>0</v>
      </c>
      <c r="I248" s="290">
        <f>E248*218%</f>
        <v>96.268799999999999</v>
      </c>
      <c r="J248" s="290">
        <f>E248*0.06%</f>
        <v>2.6495999999999995E-2</v>
      </c>
      <c r="K248" s="290">
        <v>0</v>
      </c>
      <c r="L248" s="290">
        <v>0</v>
      </c>
      <c r="M248" s="290">
        <f>E248*9%</f>
        <v>3.9743999999999997</v>
      </c>
      <c r="N248" s="290">
        <f>E248*188%</f>
        <v>83.020799999999994</v>
      </c>
      <c r="O248" s="290">
        <f>E248*22%</f>
        <v>9.7151999999999994</v>
      </c>
      <c r="P248" s="290">
        <f>E248*2.7%</f>
        <v>1.19232</v>
      </c>
      <c r="Q248" s="290">
        <v>490</v>
      </c>
      <c r="R248" s="290">
        <f>C248/1000*490</f>
        <v>29.4</v>
      </c>
    </row>
    <row r="249" spans="1:18" ht="18.75" x14ac:dyDescent="0.25">
      <c r="A249" s="93"/>
      <c r="B249" s="293" t="s">
        <v>15</v>
      </c>
      <c r="C249" s="290">
        <v>24</v>
      </c>
      <c r="D249" s="290">
        <v>5</v>
      </c>
      <c r="E249" s="290">
        <f>C249-D249</f>
        <v>19</v>
      </c>
      <c r="F249" s="290">
        <f>E249*1.3%</f>
        <v>0.24700000000000003</v>
      </c>
      <c r="G249" s="290">
        <v>0</v>
      </c>
      <c r="H249" s="290">
        <f>E249*7.2%</f>
        <v>1.3680000000000001</v>
      </c>
      <c r="I249" s="290">
        <f>E249*30%</f>
        <v>5.7</v>
      </c>
      <c r="J249" s="290">
        <f>E249*0.06%</f>
        <v>1.1399999999999999E-2</v>
      </c>
      <c r="K249" s="290">
        <f>E249*5%</f>
        <v>0.95000000000000007</v>
      </c>
      <c r="L249" s="290">
        <v>0</v>
      </c>
      <c r="M249" s="290">
        <f>E249*51%</f>
        <v>9.69</v>
      </c>
      <c r="N249" s="290">
        <f>E249*55%</f>
        <v>10.450000000000001</v>
      </c>
      <c r="O249" s="290">
        <f>E249*38%</f>
        <v>7.22</v>
      </c>
      <c r="P249" s="290">
        <f>E249*0.7%</f>
        <v>0.13299999999999998</v>
      </c>
      <c r="Q249" s="290">
        <v>60</v>
      </c>
      <c r="R249" s="290">
        <f>C249/1000*60</f>
        <v>1.44</v>
      </c>
    </row>
    <row r="250" spans="1:18" ht="18.75" x14ac:dyDescent="0.25">
      <c r="A250" s="93"/>
      <c r="B250" s="293" t="s">
        <v>72</v>
      </c>
      <c r="C250" s="290">
        <v>23</v>
      </c>
      <c r="D250" s="290">
        <f>C250*0.16</f>
        <v>3.68</v>
      </c>
      <c r="E250" s="290">
        <f>C250-D250</f>
        <v>19.32</v>
      </c>
      <c r="F250" s="290">
        <f>E250*1.4%</f>
        <v>0.27048</v>
      </c>
      <c r="G250" s="294">
        <v>0</v>
      </c>
      <c r="H250" s="290">
        <f>E250*9.1%</f>
        <v>1.7581199999999999</v>
      </c>
      <c r="I250" s="290">
        <f>E250*41%</f>
        <v>7.9211999999999998</v>
      </c>
      <c r="J250" s="290">
        <f>E250*0.05%</f>
        <v>9.6600000000000002E-3</v>
      </c>
      <c r="K250" s="290">
        <f>E250*10%</f>
        <v>1.9320000000000002</v>
      </c>
      <c r="L250" s="290">
        <v>0</v>
      </c>
      <c r="M250" s="290">
        <f>E250*31%</f>
        <v>5.9892000000000003</v>
      </c>
      <c r="N250" s="290">
        <f>E250*58%</f>
        <v>11.205599999999999</v>
      </c>
      <c r="O250" s="290">
        <f>E250*14%</f>
        <v>2.7048000000000001</v>
      </c>
      <c r="P250" s="290">
        <f>E250*0.8%</f>
        <v>0.15456</v>
      </c>
      <c r="Q250" s="290">
        <v>40</v>
      </c>
      <c r="R250" s="290">
        <f>C250/1000*40</f>
        <v>0.91999999999999993</v>
      </c>
    </row>
    <row r="251" spans="1:18" ht="18.75" x14ac:dyDescent="0.25">
      <c r="A251" s="96"/>
      <c r="B251" s="295" t="s">
        <v>80</v>
      </c>
      <c r="C251" s="295">
        <v>6</v>
      </c>
      <c r="D251" s="295">
        <v>0</v>
      </c>
      <c r="E251" s="295">
        <f>C251-D251</f>
        <v>6</v>
      </c>
      <c r="F251" s="295">
        <f>E251*7.9%</f>
        <v>0.47399999999999998</v>
      </c>
      <c r="G251" s="295">
        <f>E251*1%</f>
        <v>0.06</v>
      </c>
      <c r="H251" s="295">
        <f>E251*48.1%</f>
        <v>2.8860000000000001</v>
      </c>
      <c r="I251" s="295">
        <f>E251*239%</f>
        <v>14.34</v>
      </c>
      <c r="J251" s="295">
        <f>E251*0.16%</f>
        <v>9.6000000000000009E-3</v>
      </c>
      <c r="K251" s="295">
        <v>0</v>
      </c>
      <c r="L251" s="295">
        <v>0</v>
      </c>
      <c r="M251" s="295">
        <f>E251*23%</f>
        <v>1.3800000000000001</v>
      </c>
      <c r="N251" s="295">
        <f>E251*87%</f>
        <v>5.22</v>
      </c>
      <c r="O251" s="295">
        <f>E251*33%</f>
        <v>1.98</v>
      </c>
      <c r="P251" s="295">
        <f>E251*2%</f>
        <v>0.12</v>
      </c>
      <c r="Q251" s="295">
        <v>30</v>
      </c>
      <c r="R251" s="295">
        <f>C251/1000*30</f>
        <v>0.18</v>
      </c>
    </row>
    <row r="252" spans="1:18" x14ac:dyDescent="0.25">
      <c r="A252" s="101"/>
      <c r="B252" s="288" t="s">
        <v>25</v>
      </c>
      <c r="C252" s="288">
        <v>3</v>
      </c>
      <c r="D252" s="288">
        <v>0</v>
      </c>
      <c r="E252" s="288">
        <f>SUM(C252:D252)</f>
        <v>3</v>
      </c>
      <c r="F252" s="288">
        <f>E252*1%</f>
        <v>0.03</v>
      </c>
      <c r="G252" s="288">
        <v>0</v>
      </c>
      <c r="H252" s="288">
        <f>E252*3.5%</f>
        <v>0.10500000000000001</v>
      </c>
      <c r="I252" s="288">
        <f>E252*19%</f>
        <v>0.57000000000000006</v>
      </c>
      <c r="J252" s="288">
        <f>E252*0.03%</f>
        <v>8.9999999999999998E-4</v>
      </c>
      <c r="K252" s="288">
        <f>E252*10%</f>
        <v>0.30000000000000004</v>
      </c>
      <c r="L252" s="288">
        <v>0</v>
      </c>
      <c r="M252" s="288">
        <f>C252*7%</f>
        <v>0.21000000000000002</v>
      </c>
      <c r="N252" s="288">
        <f>E252*32%</f>
        <v>0.96</v>
      </c>
      <c r="O252" s="288">
        <f>E252*12%</f>
        <v>0.36</v>
      </c>
      <c r="P252" s="288">
        <f>E252*0.7%</f>
        <v>2.0999999999999998E-2</v>
      </c>
      <c r="Q252" s="288">
        <v>150</v>
      </c>
      <c r="R252" s="288">
        <f>C252/1000*150</f>
        <v>0.45</v>
      </c>
    </row>
    <row r="253" spans="1:18" ht="18.75" x14ac:dyDescent="0.25">
      <c r="A253" s="93"/>
      <c r="B253" s="293" t="s">
        <v>24</v>
      </c>
      <c r="C253" s="290">
        <v>5</v>
      </c>
      <c r="D253" s="290">
        <v>0</v>
      </c>
      <c r="E253" s="290">
        <f>SUM(C253:D253)</f>
        <v>5</v>
      </c>
      <c r="F253" s="290">
        <v>0</v>
      </c>
      <c r="G253" s="291">
        <f>E253*0.999</f>
        <v>4.9950000000000001</v>
      </c>
      <c r="H253" s="290">
        <v>0</v>
      </c>
      <c r="I253" s="290">
        <f>E253*8.99%</f>
        <v>0.44950000000000001</v>
      </c>
      <c r="J253" s="290">
        <f>E253*0.06%</f>
        <v>2.9999999999999996E-3</v>
      </c>
      <c r="K253" s="290">
        <v>0</v>
      </c>
      <c r="L253" s="290">
        <v>0</v>
      </c>
      <c r="M253" s="290">
        <v>0</v>
      </c>
      <c r="N253" s="290">
        <v>0</v>
      </c>
      <c r="O253" s="290">
        <v>0</v>
      </c>
      <c r="P253" s="290">
        <v>0</v>
      </c>
      <c r="Q253" s="290">
        <v>150</v>
      </c>
      <c r="R253" s="290">
        <f>C253/1000*150</f>
        <v>0.75</v>
      </c>
    </row>
    <row r="254" spans="1:18" ht="18.75" x14ac:dyDescent="0.25">
      <c r="A254" s="65"/>
      <c r="B254" s="56" t="s">
        <v>68</v>
      </c>
      <c r="C254" s="66">
        <f t="shared" ref="C254:P254" si="33">SUM(C248:C253)</f>
        <v>121</v>
      </c>
      <c r="D254" s="66">
        <f t="shared" si="33"/>
        <v>24.52</v>
      </c>
      <c r="E254" s="66">
        <f t="shared" si="33"/>
        <v>96.47999999999999</v>
      </c>
      <c r="F254" s="66">
        <f t="shared" si="33"/>
        <v>9.2352399999999992</v>
      </c>
      <c r="G254" s="66">
        <f t="shared" si="33"/>
        <v>12.1206</v>
      </c>
      <c r="H254" s="66">
        <f t="shared" si="33"/>
        <v>6.1171200000000008</v>
      </c>
      <c r="I254" s="66">
        <f t="shared" si="33"/>
        <v>125.2495</v>
      </c>
      <c r="J254" s="66">
        <f t="shared" si="33"/>
        <v>6.1055999999999999E-2</v>
      </c>
      <c r="K254" s="66">
        <f t="shared" si="33"/>
        <v>3.1820000000000004</v>
      </c>
      <c r="L254" s="66">
        <f t="shared" si="33"/>
        <v>0</v>
      </c>
      <c r="M254" s="66">
        <f t="shared" si="33"/>
        <v>21.243599999999997</v>
      </c>
      <c r="N254" s="66">
        <f t="shared" si="33"/>
        <v>110.85639999999999</v>
      </c>
      <c r="O254" s="66">
        <f t="shared" si="33"/>
        <v>21.979999999999997</v>
      </c>
      <c r="P254" s="66">
        <f t="shared" si="33"/>
        <v>1.6208800000000001</v>
      </c>
      <c r="Q254" s="66"/>
      <c r="R254" s="66">
        <f t="shared" ref="R254" si="34">SUM(R248:R253)</f>
        <v>33.14</v>
      </c>
    </row>
    <row r="255" spans="1:18" s="83" customFormat="1" ht="21" x14ac:dyDescent="0.35">
      <c r="A255" s="219" t="s">
        <v>124</v>
      </c>
      <c r="B255" s="220"/>
      <c r="C255" s="220"/>
      <c r="D255" s="220"/>
      <c r="E255" s="220"/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1"/>
    </row>
    <row r="256" spans="1:18" ht="18.75" x14ac:dyDescent="0.3">
      <c r="A256" s="33"/>
      <c r="B256" s="283" t="s">
        <v>71</v>
      </c>
      <c r="C256" s="284">
        <v>150</v>
      </c>
      <c r="D256" s="284">
        <f>C256*0.25</f>
        <v>37.5</v>
      </c>
      <c r="E256" s="284">
        <f>C256-D256</f>
        <v>112.5</v>
      </c>
      <c r="F256" s="284">
        <f>E256*2%</f>
        <v>2.25</v>
      </c>
      <c r="G256" s="284">
        <f>E256*0.4%</f>
        <v>0.45</v>
      </c>
      <c r="H256" s="284">
        <f>E256*16.3%</f>
        <v>18.337500000000002</v>
      </c>
      <c r="I256" s="284">
        <f>E256*80%</f>
        <v>90</v>
      </c>
      <c r="J256" s="284">
        <f>E256*0.12%</f>
        <v>0.13499999999999998</v>
      </c>
      <c r="K256" s="284">
        <f>E256*20%</f>
        <v>22.5</v>
      </c>
      <c r="L256" s="284">
        <v>0</v>
      </c>
      <c r="M256" s="284">
        <f>E256*10%</f>
        <v>11.25</v>
      </c>
      <c r="N256" s="284">
        <f>E256*58%</f>
        <v>65.25</v>
      </c>
      <c r="O256" s="284">
        <f>E256*23%</f>
        <v>25.875</v>
      </c>
      <c r="P256" s="284">
        <f>E256*0.9%</f>
        <v>1.0125000000000002</v>
      </c>
      <c r="Q256" s="284">
        <v>57</v>
      </c>
      <c r="R256" s="284">
        <f>C256/1000*57</f>
        <v>8.5499999999999989</v>
      </c>
    </row>
    <row r="257" spans="1:18" ht="18.75" x14ac:dyDescent="0.3">
      <c r="A257" s="33"/>
      <c r="B257" s="283" t="s">
        <v>22</v>
      </c>
      <c r="C257" s="284">
        <v>10</v>
      </c>
      <c r="D257" s="284">
        <v>0</v>
      </c>
      <c r="E257" s="284">
        <f>C257-D257</f>
        <v>10</v>
      </c>
      <c r="F257" s="284">
        <f>E257*0.5%</f>
        <v>0.05</v>
      </c>
      <c r="G257" s="284">
        <f>E257*82.5%</f>
        <v>8.25</v>
      </c>
      <c r="H257" s="284">
        <f>E257*0.8%</f>
        <v>0.08</v>
      </c>
      <c r="I257" s="284">
        <f>E257*748%</f>
        <v>74.800000000000011</v>
      </c>
      <c r="J257" s="284">
        <v>0</v>
      </c>
      <c r="K257" s="284">
        <v>0</v>
      </c>
      <c r="L257" s="284">
        <f>E257*0.59%</f>
        <v>5.8999999999999997E-2</v>
      </c>
      <c r="M257" s="284">
        <f>E257*12%</f>
        <v>1.2</v>
      </c>
      <c r="N257" s="284">
        <f>E257*19%</f>
        <v>1.9</v>
      </c>
      <c r="O257" s="284">
        <f>E257*0.4%</f>
        <v>0.04</v>
      </c>
      <c r="P257" s="284">
        <f>E257*0.2%</f>
        <v>0.02</v>
      </c>
      <c r="Q257" s="284">
        <v>480</v>
      </c>
      <c r="R257" s="4">
        <f>C257/1000*480</f>
        <v>4.8</v>
      </c>
    </row>
    <row r="258" spans="1:18" ht="18.75" x14ac:dyDescent="0.3">
      <c r="A258" s="33"/>
      <c r="B258" s="26" t="s">
        <v>68</v>
      </c>
      <c r="C258" s="4">
        <f t="shared" ref="C258:P258" si="35">SUM(C256:C257)</f>
        <v>160</v>
      </c>
      <c r="D258" s="4">
        <f t="shared" si="35"/>
        <v>37.5</v>
      </c>
      <c r="E258" s="4">
        <f t="shared" si="35"/>
        <v>122.5</v>
      </c>
      <c r="F258" s="4">
        <f t="shared" si="35"/>
        <v>2.2999999999999998</v>
      </c>
      <c r="G258" s="4">
        <f t="shared" si="35"/>
        <v>8.6999999999999993</v>
      </c>
      <c r="H258" s="4">
        <f t="shared" si="35"/>
        <v>18.4175</v>
      </c>
      <c r="I258" s="4">
        <f t="shared" si="35"/>
        <v>164.8</v>
      </c>
      <c r="J258" s="4">
        <f t="shared" si="35"/>
        <v>0.13499999999999998</v>
      </c>
      <c r="K258" s="4">
        <f t="shared" si="35"/>
        <v>22.5</v>
      </c>
      <c r="L258" s="4">
        <f t="shared" si="35"/>
        <v>5.8999999999999997E-2</v>
      </c>
      <c r="M258" s="4">
        <f t="shared" si="35"/>
        <v>12.45</v>
      </c>
      <c r="N258" s="4">
        <f t="shared" si="35"/>
        <v>67.150000000000006</v>
      </c>
      <c r="O258" s="4">
        <f t="shared" si="35"/>
        <v>25.914999999999999</v>
      </c>
      <c r="P258" s="4">
        <f t="shared" si="35"/>
        <v>1.0325000000000002</v>
      </c>
      <c r="Q258" s="4"/>
      <c r="R258" s="4">
        <f t="shared" ref="R258" si="36">SUM(R256:R257)</f>
        <v>13.349999999999998</v>
      </c>
    </row>
    <row r="259" spans="1:18" ht="21" x14ac:dyDescent="0.35">
      <c r="A259" s="30"/>
      <c r="B259" s="160" t="s">
        <v>104</v>
      </c>
      <c r="C259" s="137"/>
      <c r="D259" s="137"/>
      <c r="E259" s="137"/>
      <c r="F259" s="137"/>
      <c r="G259" s="137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8"/>
    </row>
    <row r="260" spans="1:18" ht="18.75" x14ac:dyDescent="0.3">
      <c r="A260" s="30"/>
      <c r="B260" s="27" t="s">
        <v>68</v>
      </c>
      <c r="C260" s="4">
        <v>50</v>
      </c>
      <c r="D260" s="4">
        <v>0</v>
      </c>
      <c r="E260" s="4">
        <v>50</v>
      </c>
      <c r="F260" s="4">
        <f>E260*7.9%</f>
        <v>3.95</v>
      </c>
      <c r="G260" s="4">
        <f>E260*1%</f>
        <v>0.5</v>
      </c>
      <c r="H260" s="4">
        <f>E260*48.1%</f>
        <v>24.05</v>
      </c>
      <c r="I260" s="4">
        <f>E260*239%</f>
        <v>119.5</v>
      </c>
      <c r="J260" s="4">
        <f>E260*0.16%</f>
        <v>0.08</v>
      </c>
      <c r="K260" s="4">
        <v>0</v>
      </c>
      <c r="L260" s="4">
        <v>0</v>
      </c>
      <c r="M260" s="4">
        <f>E260*23%</f>
        <v>11.5</v>
      </c>
      <c r="N260" s="4">
        <f>E260*87%</f>
        <v>43.5</v>
      </c>
      <c r="O260" s="4">
        <f>E260*33%</f>
        <v>16.5</v>
      </c>
      <c r="P260" s="4">
        <f>E260*2%</f>
        <v>1</v>
      </c>
      <c r="Q260" s="4">
        <v>50</v>
      </c>
      <c r="R260" s="4">
        <f>C260/1000*50</f>
        <v>2.5</v>
      </c>
    </row>
    <row r="261" spans="1:18" ht="21" x14ac:dyDescent="0.35">
      <c r="A261" s="30"/>
      <c r="B261" s="160" t="s">
        <v>105</v>
      </c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8"/>
    </row>
    <row r="262" spans="1:18" ht="18.75" x14ac:dyDescent="0.3">
      <c r="A262" s="30"/>
      <c r="B262" s="284" t="s">
        <v>51</v>
      </c>
      <c r="C262" s="284">
        <v>1</v>
      </c>
      <c r="D262" s="284">
        <v>0</v>
      </c>
      <c r="E262" s="284">
        <f>C262-D262</f>
        <v>1</v>
      </c>
      <c r="F262" s="284">
        <f>E262*21.74%</f>
        <v>0.21739999999999998</v>
      </c>
      <c r="G262" s="284">
        <f>E262*7.61%</f>
        <v>7.6100000000000001E-2</v>
      </c>
      <c r="H262" s="284">
        <f>E262*2.86%</f>
        <v>2.86E-2</v>
      </c>
      <c r="I262" s="284">
        <f>E262*9.18%</f>
        <v>9.1799999999999993E-2</v>
      </c>
      <c r="J262" s="284">
        <f>E262*4.7%</f>
        <v>4.7E-2</v>
      </c>
      <c r="K262" s="284">
        <f>E262*11%</f>
        <v>0.11</v>
      </c>
      <c r="L262" s="284">
        <f>E262*5.6%</f>
        <v>5.5999999999999994E-2</v>
      </c>
      <c r="M262" s="284">
        <f>E262*50%</f>
        <v>0.5</v>
      </c>
      <c r="N262" s="284">
        <f>E262*10%</f>
        <v>0.1</v>
      </c>
      <c r="O262" s="284">
        <f>E262*110%</f>
        <v>1.1000000000000001</v>
      </c>
      <c r="P262" s="284">
        <f>E262*456%</f>
        <v>4.5599999999999996</v>
      </c>
      <c r="Q262" s="284">
        <v>950</v>
      </c>
      <c r="R262" s="284">
        <f>C262/1000*950</f>
        <v>0.95000000000000007</v>
      </c>
    </row>
    <row r="263" spans="1:18" ht="18.75" x14ac:dyDescent="0.3">
      <c r="A263" s="30"/>
      <c r="B263" s="284" t="s">
        <v>67</v>
      </c>
      <c r="C263" s="284">
        <v>15</v>
      </c>
      <c r="D263" s="284">
        <v>0</v>
      </c>
      <c r="E263" s="284">
        <v>15</v>
      </c>
      <c r="F263" s="284">
        <v>0</v>
      </c>
      <c r="G263" s="284">
        <v>0</v>
      </c>
      <c r="H263" s="284">
        <f>E263*99.8%</f>
        <v>14.97</v>
      </c>
      <c r="I263" s="284">
        <f>E263*379%</f>
        <v>56.85</v>
      </c>
      <c r="J263" s="284">
        <v>0</v>
      </c>
      <c r="K263" s="284">
        <v>0</v>
      </c>
      <c r="L263" s="284">
        <v>0</v>
      </c>
      <c r="M263" s="284">
        <f>E263*2%</f>
        <v>0.3</v>
      </c>
      <c r="N263" s="284">
        <v>0</v>
      </c>
      <c r="O263" s="284">
        <v>0</v>
      </c>
      <c r="P263" s="284">
        <f>E263*0.3%</f>
        <v>4.4999999999999998E-2</v>
      </c>
      <c r="Q263" s="284">
        <v>60</v>
      </c>
      <c r="R263" s="284">
        <f>C263/1000*60</f>
        <v>0.89999999999999991</v>
      </c>
    </row>
    <row r="264" spans="1:18" ht="18.75" x14ac:dyDescent="0.3">
      <c r="A264" s="30"/>
      <c r="B264" s="27" t="s">
        <v>68</v>
      </c>
      <c r="C264" s="4">
        <v>16</v>
      </c>
      <c r="D264" s="4">
        <f>SUM(D263:D263)</f>
        <v>0</v>
      </c>
      <c r="E264" s="4">
        <v>150</v>
      </c>
      <c r="F264" s="4">
        <f t="shared" ref="F264:P264" si="37">SUM(F263:F263)</f>
        <v>0</v>
      </c>
      <c r="G264" s="4">
        <f t="shared" si="37"/>
        <v>0</v>
      </c>
      <c r="H264" s="4">
        <f t="shared" si="37"/>
        <v>14.97</v>
      </c>
      <c r="I264" s="4">
        <f t="shared" si="37"/>
        <v>56.85</v>
      </c>
      <c r="J264" s="4">
        <f t="shared" si="37"/>
        <v>0</v>
      </c>
      <c r="K264" s="4">
        <f t="shared" si="37"/>
        <v>0</v>
      </c>
      <c r="L264" s="4">
        <f t="shared" si="37"/>
        <v>0</v>
      </c>
      <c r="M264" s="4">
        <f t="shared" si="37"/>
        <v>0.3</v>
      </c>
      <c r="N264" s="4">
        <f t="shared" si="37"/>
        <v>0</v>
      </c>
      <c r="O264" s="4">
        <f t="shared" si="37"/>
        <v>0</v>
      </c>
      <c r="P264" s="4">
        <f t="shared" si="37"/>
        <v>4.4999999999999998E-2</v>
      </c>
      <c r="Q264" s="4"/>
      <c r="R264" s="4">
        <f>SUM(R262:R263)</f>
        <v>1.85</v>
      </c>
    </row>
    <row r="265" spans="1:18" ht="21" x14ac:dyDescent="0.35">
      <c r="A265" s="30"/>
      <c r="B265" s="160" t="s">
        <v>113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8"/>
    </row>
    <row r="266" spans="1:18" ht="27.75" customHeight="1" x14ac:dyDescent="0.3">
      <c r="A266" s="30"/>
      <c r="B266" s="27" t="s">
        <v>68</v>
      </c>
      <c r="C266" s="4">
        <v>100</v>
      </c>
      <c r="D266" s="4">
        <v>0</v>
      </c>
      <c r="E266" s="4">
        <f>C266-D266</f>
        <v>100</v>
      </c>
      <c r="F266" s="4">
        <f>E266*0.4%</f>
        <v>0.4</v>
      </c>
      <c r="G266" s="4">
        <f>E266*0.4%</f>
        <v>0.4</v>
      </c>
      <c r="H266" s="4">
        <f>E266*9.8%</f>
        <v>9.8000000000000007</v>
      </c>
      <c r="I266" s="4">
        <f>E266*45%</f>
        <v>45</v>
      </c>
      <c r="J266" s="4">
        <f>E266*0.03%</f>
        <v>0.03</v>
      </c>
      <c r="K266" s="4">
        <f>E266*13%</f>
        <v>13</v>
      </c>
      <c r="L266" s="4">
        <v>0</v>
      </c>
      <c r="M266" s="4">
        <f>E266*16%</f>
        <v>16</v>
      </c>
      <c r="N266" s="4">
        <f>E266*11%</f>
        <v>11</v>
      </c>
      <c r="O266" s="4">
        <f>E266*9%</f>
        <v>9</v>
      </c>
      <c r="P266" s="4">
        <f>E266*2.2%</f>
        <v>2.2000000000000002</v>
      </c>
      <c r="Q266" s="4">
        <v>100</v>
      </c>
      <c r="R266" s="4">
        <f>C266/1000*100</f>
        <v>10</v>
      </c>
    </row>
    <row r="267" spans="1:18" ht="21" x14ac:dyDescent="0.35">
      <c r="A267" s="33"/>
      <c r="B267" s="165" t="s">
        <v>106</v>
      </c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7"/>
    </row>
    <row r="268" spans="1:18" ht="18.75" x14ac:dyDescent="0.3">
      <c r="A268" s="33"/>
      <c r="B268" s="27" t="s">
        <v>68</v>
      </c>
      <c r="C268" s="23">
        <v>3</v>
      </c>
      <c r="D268" s="4">
        <v>0</v>
      </c>
      <c r="E268" s="23">
        <f>C268-D268</f>
        <v>3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20</v>
      </c>
      <c r="R268" s="23">
        <f>C268/1000*20</f>
        <v>0.06</v>
      </c>
    </row>
    <row r="269" spans="1:18" ht="18.75" x14ac:dyDescent="0.3">
      <c r="A269" s="33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23.25" x14ac:dyDescent="0.35">
      <c r="A270" s="33"/>
      <c r="B270" s="21" t="s">
        <v>68</v>
      </c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>
        <f>R254+R258+R260+R264+R266+R268</f>
        <v>60.9</v>
      </c>
    </row>
    <row r="271" spans="1:18" ht="23.25" x14ac:dyDescent="0.35">
      <c r="A271" s="35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1:18" ht="23.25" x14ac:dyDescent="0.35">
      <c r="A272" s="35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</row>
    <row r="273" spans="1:18" ht="23.25" x14ac:dyDescent="0.35">
      <c r="A273" s="35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</row>
    <row r="274" spans="1:18" ht="23.25" x14ac:dyDescent="0.35">
      <c r="A274" s="35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</row>
    <row r="275" spans="1:18" ht="23.25" x14ac:dyDescent="0.35">
      <c r="A275" s="35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</row>
    <row r="276" spans="1:18" ht="23.25" x14ac:dyDescent="0.35">
      <c r="A276" s="35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</row>
    <row r="277" spans="1:18" ht="23.25" x14ac:dyDescent="0.35">
      <c r="A277" s="35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</row>
    <row r="278" spans="1:18" ht="23.25" x14ac:dyDescent="0.35">
      <c r="A278" s="35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</row>
    <row r="279" spans="1:18" ht="30" customHeight="1" x14ac:dyDescent="0.35">
      <c r="A279" s="35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</row>
    <row r="280" spans="1:18" ht="23.25" x14ac:dyDescent="0.35">
      <c r="A280" s="35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</row>
    <row r="281" spans="1:18" ht="15.75" x14ac:dyDescent="0.25">
      <c r="A281" s="131"/>
      <c r="B281" s="142" t="s">
        <v>0</v>
      </c>
      <c r="C281" s="149" t="s">
        <v>18</v>
      </c>
      <c r="D281" s="146" t="s">
        <v>20</v>
      </c>
      <c r="E281" s="146" t="s">
        <v>19</v>
      </c>
      <c r="F281" s="128" t="s">
        <v>1</v>
      </c>
      <c r="G281" s="128" t="s">
        <v>2</v>
      </c>
      <c r="H281" s="128" t="s">
        <v>3</v>
      </c>
      <c r="I281" s="128" t="s">
        <v>4</v>
      </c>
      <c r="J281" s="143" t="s">
        <v>5</v>
      </c>
      <c r="K281" s="143"/>
      <c r="L281" s="143"/>
      <c r="M281" s="143" t="s">
        <v>6</v>
      </c>
      <c r="N281" s="143"/>
      <c r="O281" s="143"/>
      <c r="P281" s="143"/>
      <c r="Q281" s="139" t="s">
        <v>65</v>
      </c>
      <c r="R281" s="240" t="s">
        <v>115</v>
      </c>
    </row>
    <row r="282" spans="1:18" x14ac:dyDescent="0.25">
      <c r="A282" s="132"/>
      <c r="B282" s="142"/>
      <c r="C282" s="150"/>
      <c r="D282" s="147"/>
      <c r="E282" s="147"/>
      <c r="F282" s="129"/>
      <c r="G282" s="129"/>
      <c r="H282" s="129"/>
      <c r="I282" s="129"/>
      <c r="J282" s="128" t="s">
        <v>7</v>
      </c>
      <c r="K282" s="144" t="s">
        <v>8</v>
      </c>
      <c r="L282" s="128" t="s">
        <v>9</v>
      </c>
      <c r="M282" s="128" t="s">
        <v>10</v>
      </c>
      <c r="N282" s="128" t="s">
        <v>11</v>
      </c>
      <c r="O282" s="128" t="s">
        <v>12</v>
      </c>
      <c r="P282" s="128" t="s">
        <v>13</v>
      </c>
      <c r="Q282" s="140"/>
      <c r="R282" s="241"/>
    </row>
    <row r="283" spans="1:18" ht="20.25" x14ac:dyDescent="0.3">
      <c r="A283" s="29"/>
      <c r="B283" s="1" t="s">
        <v>85</v>
      </c>
      <c r="C283" s="151"/>
      <c r="D283" s="148"/>
      <c r="E283" s="148"/>
      <c r="F283" s="130"/>
      <c r="G283" s="130"/>
      <c r="H283" s="130"/>
      <c r="I283" s="130"/>
      <c r="J283" s="130"/>
      <c r="K283" s="145"/>
      <c r="L283" s="130"/>
      <c r="M283" s="130"/>
      <c r="N283" s="130"/>
      <c r="O283" s="130"/>
      <c r="P283" s="130"/>
      <c r="Q283" s="141"/>
      <c r="R283" s="242"/>
    </row>
    <row r="284" spans="1:18" ht="20.25" x14ac:dyDescent="0.3">
      <c r="A284" s="29"/>
      <c r="B284" s="211" t="s">
        <v>125</v>
      </c>
      <c r="C284" s="212"/>
      <c r="D284" s="212"/>
      <c r="E284" s="212"/>
      <c r="F284" s="212"/>
      <c r="G284" s="212"/>
      <c r="H284" s="212"/>
      <c r="I284" s="212"/>
      <c r="J284" s="212"/>
      <c r="K284" s="212"/>
      <c r="L284" s="212"/>
      <c r="M284" s="212"/>
      <c r="N284" s="212"/>
      <c r="O284" s="212"/>
      <c r="P284" s="212"/>
      <c r="Q284" s="212"/>
      <c r="R284" s="213"/>
    </row>
    <row r="285" spans="1:18" ht="18.75" x14ac:dyDescent="0.3">
      <c r="A285" s="30"/>
      <c r="B285" s="283" t="s">
        <v>73</v>
      </c>
      <c r="C285" s="284">
        <v>90</v>
      </c>
      <c r="D285" s="284">
        <f>C285*25%</f>
        <v>22.5</v>
      </c>
      <c r="E285" s="284">
        <v>75</v>
      </c>
      <c r="F285" s="284">
        <f>E285*18.2%</f>
        <v>13.65</v>
      </c>
      <c r="G285" s="284">
        <f>E285*18.4%</f>
        <v>13.799999999999999</v>
      </c>
      <c r="H285" s="284">
        <f>E285*0.7%</f>
        <v>0.52499999999999991</v>
      </c>
      <c r="I285" s="284">
        <f>E285*241%</f>
        <v>180.75</v>
      </c>
      <c r="J285" s="284">
        <f>E285*0.07%</f>
        <v>5.2500000000000005E-2</v>
      </c>
      <c r="K285" s="284">
        <v>0</v>
      </c>
      <c r="L285" s="284">
        <f>E285*0.07%</f>
        <v>5.2500000000000005E-2</v>
      </c>
      <c r="M285" s="284">
        <f>E285*16%</f>
        <v>12</v>
      </c>
      <c r="N285" s="284">
        <f>E285*165%</f>
        <v>123.75</v>
      </c>
      <c r="O285" s="284">
        <f>E285*18%</f>
        <v>13.5</v>
      </c>
      <c r="P285" s="284">
        <f>E285*1.6%</f>
        <v>1.2</v>
      </c>
      <c r="Q285" s="284">
        <v>270</v>
      </c>
      <c r="R285" s="284">
        <f>C285/1000*270</f>
        <v>24.3</v>
      </c>
    </row>
    <row r="286" spans="1:18" ht="18.75" x14ac:dyDescent="0.3">
      <c r="A286" s="22"/>
      <c r="B286" s="283" t="s">
        <v>72</v>
      </c>
      <c r="C286" s="284">
        <v>17</v>
      </c>
      <c r="D286" s="284">
        <f>C286*0.16</f>
        <v>2.72</v>
      </c>
      <c r="E286" s="284">
        <f>C286-D286</f>
        <v>14.28</v>
      </c>
      <c r="F286" s="284">
        <f>E286*1.4%</f>
        <v>0.19991999999999996</v>
      </c>
      <c r="G286" s="296">
        <v>0</v>
      </c>
      <c r="H286" s="284">
        <f>E286*9.1%</f>
        <v>1.29948</v>
      </c>
      <c r="I286" s="284">
        <f>E286*41%</f>
        <v>5.8547999999999991</v>
      </c>
      <c r="J286" s="284">
        <f>E286*0.05%</f>
        <v>7.1399999999999996E-3</v>
      </c>
      <c r="K286" s="284">
        <f>E286*10%</f>
        <v>1.4279999999999999</v>
      </c>
      <c r="L286" s="284">
        <v>0</v>
      </c>
      <c r="M286" s="284">
        <f>E286*31%</f>
        <v>4.4268000000000001</v>
      </c>
      <c r="N286" s="284">
        <f>E286*58%</f>
        <v>8.2823999999999991</v>
      </c>
      <c r="O286" s="284">
        <f>E286*14%</f>
        <v>1.9992000000000001</v>
      </c>
      <c r="P286" s="284">
        <f>E286*0.8%</f>
        <v>0.11423999999999999</v>
      </c>
      <c r="Q286" s="284">
        <v>40</v>
      </c>
      <c r="R286" s="284">
        <f>C286/1000*40</f>
        <v>0.68</v>
      </c>
    </row>
    <row r="287" spans="1:18" ht="18.75" x14ac:dyDescent="0.3">
      <c r="A287" s="33"/>
      <c r="B287" s="283" t="s">
        <v>71</v>
      </c>
      <c r="C287" s="284">
        <v>100</v>
      </c>
      <c r="D287" s="284">
        <f>C287*0.25</f>
        <v>25</v>
      </c>
      <c r="E287" s="284">
        <f>C287-D287</f>
        <v>75</v>
      </c>
      <c r="F287" s="284">
        <f>E287*2%</f>
        <v>1.5</v>
      </c>
      <c r="G287" s="284">
        <f>E287*0.4%</f>
        <v>0.3</v>
      </c>
      <c r="H287" s="284">
        <f>E287*16.3%</f>
        <v>12.225</v>
      </c>
      <c r="I287" s="284">
        <f>E287*80%</f>
        <v>60</v>
      </c>
      <c r="J287" s="284">
        <f>E287*0.12%</f>
        <v>0.09</v>
      </c>
      <c r="K287" s="284">
        <f>E287*20%</f>
        <v>15</v>
      </c>
      <c r="L287" s="284">
        <v>0</v>
      </c>
      <c r="M287" s="284">
        <f>E287*10%</f>
        <v>7.5</v>
      </c>
      <c r="N287" s="284">
        <f>E287*58%</f>
        <v>43.5</v>
      </c>
      <c r="O287" s="284">
        <f>E287*23%</f>
        <v>17.25</v>
      </c>
      <c r="P287" s="284">
        <f>E287*0.9%</f>
        <v>0.67500000000000004</v>
      </c>
      <c r="Q287" s="284">
        <v>57</v>
      </c>
      <c r="R287" s="284">
        <f>C287/1000*57</f>
        <v>5.7</v>
      </c>
    </row>
    <row r="288" spans="1:18" ht="18.75" x14ac:dyDescent="0.3">
      <c r="A288" s="33"/>
      <c r="B288" s="283" t="s">
        <v>22</v>
      </c>
      <c r="C288" s="284">
        <v>10</v>
      </c>
      <c r="D288" s="284">
        <v>0</v>
      </c>
      <c r="E288" s="284">
        <f>C288-D288</f>
        <v>10</v>
      </c>
      <c r="F288" s="284">
        <f>E288*0.5%</f>
        <v>0.05</v>
      </c>
      <c r="G288" s="284">
        <f>E288*82.5%</f>
        <v>8.25</v>
      </c>
      <c r="H288" s="284">
        <f>E288*0.8%</f>
        <v>0.08</v>
      </c>
      <c r="I288" s="284">
        <f>E288*748%</f>
        <v>74.800000000000011</v>
      </c>
      <c r="J288" s="284">
        <v>0</v>
      </c>
      <c r="K288" s="284">
        <v>0</v>
      </c>
      <c r="L288" s="284">
        <f>E288*0.59%</f>
        <v>5.8999999999999997E-2</v>
      </c>
      <c r="M288" s="284">
        <f>E288*12%</f>
        <v>1.2</v>
      </c>
      <c r="N288" s="284">
        <f>E288*19%</f>
        <v>1.9</v>
      </c>
      <c r="O288" s="284">
        <f>E288*0.4%</f>
        <v>0.04</v>
      </c>
      <c r="P288" s="284">
        <f>E288*0.2%</f>
        <v>0.02</v>
      </c>
      <c r="Q288" s="284">
        <v>480</v>
      </c>
      <c r="R288" s="4">
        <f>C288/1000*480</f>
        <v>4.8</v>
      </c>
    </row>
    <row r="289" spans="1:18" ht="18.75" x14ac:dyDescent="0.3">
      <c r="A289" s="22"/>
      <c r="B289" s="26" t="s">
        <v>68</v>
      </c>
      <c r="C289" s="4">
        <f t="shared" ref="C289:P289" si="38">SUM(C285:C288)</f>
        <v>217</v>
      </c>
      <c r="D289" s="4">
        <f t="shared" si="38"/>
        <v>50.22</v>
      </c>
      <c r="E289" s="4">
        <f t="shared" si="38"/>
        <v>174.28</v>
      </c>
      <c r="F289" s="4">
        <f t="shared" si="38"/>
        <v>15.399920000000002</v>
      </c>
      <c r="G289" s="4">
        <f t="shared" si="38"/>
        <v>22.35</v>
      </c>
      <c r="H289" s="4">
        <f t="shared" si="38"/>
        <v>14.129479999999999</v>
      </c>
      <c r="I289" s="4">
        <f t="shared" si="38"/>
        <v>321.40480000000002</v>
      </c>
      <c r="J289" s="4">
        <f t="shared" si="38"/>
        <v>0.14964</v>
      </c>
      <c r="K289" s="4">
        <f t="shared" si="38"/>
        <v>16.428000000000001</v>
      </c>
      <c r="L289" s="4">
        <f t="shared" si="38"/>
        <v>0.1115</v>
      </c>
      <c r="M289" s="4">
        <f t="shared" si="38"/>
        <v>25.126799999999999</v>
      </c>
      <c r="N289" s="4">
        <f t="shared" si="38"/>
        <v>177.4324</v>
      </c>
      <c r="O289" s="4">
        <f t="shared" si="38"/>
        <v>32.789200000000001</v>
      </c>
      <c r="P289" s="4">
        <f t="shared" si="38"/>
        <v>2.0092399999999997</v>
      </c>
      <c r="Q289" s="4"/>
      <c r="R289" s="4">
        <f>SUM(R285:R288)</f>
        <v>35.479999999999997</v>
      </c>
    </row>
    <row r="290" spans="1:18" ht="21" x14ac:dyDescent="0.35">
      <c r="A290" s="30"/>
      <c r="B290" s="119" t="s">
        <v>126</v>
      </c>
      <c r="C290" s="154"/>
      <c r="D290" s="154"/>
      <c r="E290" s="154"/>
      <c r="F290" s="154"/>
      <c r="G290" s="154"/>
      <c r="H290" s="154"/>
      <c r="I290" s="154"/>
      <c r="J290" s="154"/>
      <c r="K290" s="154"/>
      <c r="L290" s="154"/>
      <c r="M290" s="154"/>
      <c r="N290" s="154"/>
      <c r="O290" s="154"/>
      <c r="P290" s="154"/>
      <c r="Q290" s="154"/>
      <c r="R290" s="155"/>
    </row>
    <row r="291" spans="1:18" ht="18.75" x14ac:dyDescent="0.3">
      <c r="A291" s="30"/>
      <c r="B291" s="285" t="s">
        <v>71</v>
      </c>
      <c r="C291" s="286">
        <v>23</v>
      </c>
      <c r="D291" s="286">
        <f>C291*0.25</f>
        <v>5.75</v>
      </c>
      <c r="E291" s="286">
        <f>C291-D291</f>
        <v>17.25</v>
      </c>
      <c r="F291" s="286">
        <f>E291*2%</f>
        <v>0.34500000000000003</v>
      </c>
      <c r="G291" s="286">
        <f>E291*0.4%</f>
        <v>6.9000000000000006E-2</v>
      </c>
      <c r="H291" s="286">
        <f>E291*16.3%</f>
        <v>2.81175</v>
      </c>
      <c r="I291" s="286">
        <f>E291*80%</f>
        <v>13.8</v>
      </c>
      <c r="J291" s="286">
        <f>E291*0.12%</f>
        <v>2.07E-2</v>
      </c>
      <c r="K291" s="286">
        <f>E291*20%</f>
        <v>3.45</v>
      </c>
      <c r="L291" s="286">
        <v>0</v>
      </c>
      <c r="M291" s="286">
        <f>E291*10%</f>
        <v>1.7250000000000001</v>
      </c>
      <c r="N291" s="286">
        <f>E291*58%</f>
        <v>10.004999999999999</v>
      </c>
      <c r="O291" s="286">
        <f>E291*23%</f>
        <v>3.9675000000000002</v>
      </c>
      <c r="P291" s="286">
        <f>E291*0.9%</f>
        <v>0.15525000000000003</v>
      </c>
      <c r="Q291" s="286">
        <v>57</v>
      </c>
      <c r="R291" s="286">
        <f>C291/1000*57</f>
        <v>1.3109999999999999</v>
      </c>
    </row>
    <row r="292" spans="1:18" ht="18.75" x14ac:dyDescent="0.3">
      <c r="A292" s="30"/>
      <c r="B292" s="285" t="s">
        <v>15</v>
      </c>
      <c r="C292" s="286">
        <v>23</v>
      </c>
      <c r="D292" s="286">
        <f>C292*0.2</f>
        <v>4.6000000000000005</v>
      </c>
      <c r="E292" s="286">
        <f>C292-D292</f>
        <v>18.399999999999999</v>
      </c>
      <c r="F292" s="286">
        <f>E292*1.3%</f>
        <v>0.2392</v>
      </c>
      <c r="G292" s="289">
        <f>E292*0.001</f>
        <v>1.84E-2</v>
      </c>
      <c r="H292" s="286">
        <f>E292*0.072</f>
        <v>1.3247999999999998</v>
      </c>
      <c r="I292" s="286">
        <f>E292*0.3</f>
        <v>5.52</v>
      </c>
      <c r="J292" s="286">
        <f>E292*0.06%</f>
        <v>1.1039999999999998E-2</v>
      </c>
      <c r="K292" s="286">
        <f>E292*5%</f>
        <v>0.91999999999999993</v>
      </c>
      <c r="L292" s="286">
        <v>0</v>
      </c>
      <c r="M292" s="286">
        <f>E292*51%</f>
        <v>9.3839999999999986</v>
      </c>
      <c r="N292" s="286">
        <f>E292*55%</f>
        <v>10.119999999999999</v>
      </c>
      <c r="O292" s="286">
        <f>E292*38%</f>
        <v>6.9919999999999991</v>
      </c>
      <c r="P292" s="286">
        <f>E292*0.7%</f>
        <v>0.12879999999999997</v>
      </c>
      <c r="Q292" s="286">
        <v>60</v>
      </c>
      <c r="R292" s="285">
        <f>C292/1000*60</f>
        <v>1.38</v>
      </c>
    </row>
    <row r="293" spans="1:18" ht="18.75" x14ac:dyDescent="0.3">
      <c r="A293" s="30"/>
      <c r="B293" s="279" t="s">
        <v>70</v>
      </c>
      <c r="C293" s="286">
        <v>23</v>
      </c>
      <c r="D293" s="286">
        <f>C293*0.2</f>
        <v>4.6000000000000005</v>
      </c>
      <c r="E293" s="286">
        <f>C293-D293</f>
        <v>18.399999999999999</v>
      </c>
      <c r="F293" s="286">
        <f>E293*0.015</f>
        <v>0.27599999999999997</v>
      </c>
      <c r="G293" s="286">
        <f>E293*0.001</f>
        <v>1.84E-2</v>
      </c>
      <c r="H293" s="286">
        <f>E293*0.091</f>
        <v>1.6743999999999999</v>
      </c>
      <c r="I293" s="286">
        <f>E293*0.42</f>
        <v>7.7279999999999989</v>
      </c>
      <c r="J293" s="286">
        <f>E293*0.02%</f>
        <v>3.6799999999999997E-3</v>
      </c>
      <c r="K293" s="286">
        <f>E293*10%</f>
        <v>1.8399999999999999</v>
      </c>
      <c r="L293" s="286">
        <v>0</v>
      </c>
      <c r="M293" s="286">
        <f>E293*37%</f>
        <v>6.8079999999999998</v>
      </c>
      <c r="N293" s="286">
        <f>E293*43%</f>
        <v>7.911999999999999</v>
      </c>
      <c r="O293" s="286">
        <f>E293*22%</f>
        <v>4.048</v>
      </c>
      <c r="P293" s="286">
        <f>E293*1.4%</f>
        <v>0.25759999999999994</v>
      </c>
      <c r="Q293" s="286">
        <v>60</v>
      </c>
      <c r="R293" s="286">
        <f>C293/1000*60</f>
        <v>1.38</v>
      </c>
    </row>
    <row r="294" spans="1:18" s="64" customFormat="1" ht="15.75" customHeight="1" x14ac:dyDescent="0.25">
      <c r="A294" s="74"/>
      <c r="B294" s="279" t="s">
        <v>76</v>
      </c>
      <c r="C294" s="290">
        <v>5</v>
      </c>
      <c r="D294" s="290">
        <v>0</v>
      </c>
      <c r="E294" s="290">
        <f>C294-D294</f>
        <v>5</v>
      </c>
      <c r="F294" s="290">
        <v>0</v>
      </c>
      <c r="G294" s="291">
        <f>E294*0.999</f>
        <v>4.9950000000000001</v>
      </c>
      <c r="H294" s="290">
        <v>0</v>
      </c>
      <c r="I294" s="290">
        <f>E294*8.99</f>
        <v>44.95</v>
      </c>
      <c r="J294" s="290">
        <f>E294*0.06%</f>
        <v>2.9999999999999996E-3</v>
      </c>
      <c r="K294" s="290">
        <v>0</v>
      </c>
      <c r="L294" s="290">
        <v>0</v>
      </c>
      <c r="M294" s="290">
        <v>0</v>
      </c>
      <c r="N294" s="290">
        <v>0</v>
      </c>
      <c r="O294" s="290">
        <v>0</v>
      </c>
      <c r="P294" s="290">
        <v>0</v>
      </c>
      <c r="Q294" s="290">
        <v>180</v>
      </c>
      <c r="R294" s="290">
        <f>C294/1000*180</f>
        <v>0.9</v>
      </c>
    </row>
    <row r="295" spans="1:18" ht="18.75" x14ac:dyDescent="0.3">
      <c r="A295" s="30"/>
      <c r="B295" s="279" t="s">
        <v>17</v>
      </c>
      <c r="C295" s="286">
        <v>5</v>
      </c>
      <c r="D295" s="286">
        <v>0</v>
      </c>
      <c r="E295" s="286">
        <f>C295-D295</f>
        <v>5</v>
      </c>
      <c r="F295" s="286">
        <v>0</v>
      </c>
      <c r="G295" s="289">
        <f>E295*0.999</f>
        <v>4.9950000000000001</v>
      </c>
      <c r="H295" s="286">
        <v>0</v>
      </c>
      <c r="I295" s="286">
        <f>E295*8.99</f>
        <v>44.95</v>
      </c>
      <c r="J295" s="286">
        <f>E295*0.06%</f>
        <v>2.9999999999999996E-3</v>
      </c>
      <c r="K295" s="286">
        <v>0</v>
      </c>
      <c r="L295" s="286">
        <v>0</v>
      </c>
      <c r="M295" s="286">
        <v>0</v>
      </c>
      <c r="N295" s="286">
        <v>0</v>
      </c>
      <c r="O295" s="286">
        <v>0</v>
      </c>
      <c r="P295" s="286">
        <v>0</v>
      </c>
      <c r="Q295" s="286">
        <v>150</v>
      </c>
      <c r="R295" s="286">
        <f>C295/1000*150</f>
        <v>0.75</v>
      </c>
    </row>
    <row r="296" spans="1:18" ht="18.75" x14ac:dyDescent="0.3">
      <c r="A296" s="30"/>
      <c r="B296" s="26" t="s">
        <v>68</v>
      </c>
      <c r="C296" s="4">
        <f t="shared" ref="C296:P296" si="39">SUM(C291:C295)</f>
        <v>79</v>
      </c>
      <c r="D296" s="4">
        <f t="shared" si="39"/>
        <v>14.950000000000003</v>
      </c>
      <c r="E296" s="4">
        <f t="shared" si="39"/>
        <v>64.05</v>
      </c>
      <c r="F296" s="4">
        <f t="shared" si="39"/>
        <v>0.86020000000000008</v>
      </c>
      <c r="G296" s="4">
        <f t="shared" si="39"/>
        <v>10.095800000000001</v>
      </c>
      <c r="H296" s="4">
        <f t="shared" si="39"/>
        <v>5.8109500000000001</v>
      </c>
      <c r="I296" s="4">
        <f t="shared" si="39"/>
        <v>116.94800000000001</v>
      </c>
      <c r="J296" s="4">
        <f t="shared" si="39"/>
        <v>4.1420000000000005E-2</v>
      </c>
      <c r="K296" s="4">
        <f t="shared" si="39"/>
        <v>6.21</v>
      </c>
      <c r="L296" s="4">
        <f t="shared" si="39"/>
        <v>0</v>
      </c>
      <c r="M296" s="4">
        <f t="shared" si="39"/>
        <v>17.916999999999998</v>
      </c>
      <c r="N296" s="4">
        <f t="shared" si="39"/>
        <v>28.036999999999999</v>
      </c>
      <c r="O296" s="4">
        <f t="shared" si="39"/>
        <v>15.007499999999999</v>
      </c>
      <c r="P296" s="4">
        <f t="shared" si="39"/>
        <v>0.54164999999999996</v>
      </c>
      <c r="Q296" s="4"/>
      <c r="R296" s="4">
        <f t="shared" ref="R296" si="40">SUM(R291:R295)</f>
        <v>5.7210000000000001</v>
      </c>
    </row>
    <row r="297" spans="1:18" ht="21" x14ac:dyDescent="0.35">
      <c r="A297" s="30"/>
      <c r="B297" s="160" t="s">
        <v>104</v>
      </c>
      <c r="C297" s="137"/>
      <c r="D297" s="137"/>
      <c r="E297" s="137"/>
      <c r="F297" s="137"/>
      <c r="G297" s="137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8"/>
    </row>
    <row r="298" spans="1:18" ht="18.75" x14ac:dyDescent="0.3">
      <c r="A298" s="30"/>
      <c r="B298" s="27" t="s">
        <v>68</v>
      </c>
      <c r="C298" s="4">
        <v>30</v>
      </c>
      <c r="D298" s="4">
        <v>0</v>
      </c>
      <c r="E298" s="4">
        <v>30</v>
      </c>
      <c r="F298" s="4">
        <f>E298*7.9%</f>
        <v>2.37</v>
      </c>
      <c r="G298" s="4">
        <f>E298*1%</f>
        <v>0.3</v>
      </c>
      <c r="H298" s="4">
        <f>E298*48.1%</f>
        <v>14.430000000000001</v>
      </c>
      <c r="I298" s="4">
        <f>E298*239%</f>
        <v>71.7</v>
      </c>
      <c r="J298" s="4">
        <f>E298*0.16%</f>
        <v>4.8000000000000001E-2</v>
      </c>
      <c r="K298" s="4">
        <v>0</v>
      </c>
      <c r="L298" s="4">
        <v>0</v>
      </c>
      <c r="M298" s="4">
        <f>E298*23%</f>
        <v>6.9</v>
      </c>
      <c r="N298" s="4">
        <f>E298*87%</f>
        <v>26.1</v>
      </c>
      <c r="O298" s="4">
        <f>E298*33%</f>
        <v>9.9</v>
      </c>
      <c r="P298" s="4">
        <f>E298*2%</f>
        <v>0.6</v>
      </c>
      <c r="Q298" s="4">
        <v>50</v>
      </c>
      <c r="R298" s="4">
        <f>C298/1000*50</f>
        <v>1.5</v>
      </c>
    </row>
    <row r="299" spans="1:18" ht="21" x14ac:dyDescent="0.35">
      <c r="A299" s="30"/>
      <c r="B299" s="160" t="s">
        <v>105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8"/>
    </row>
    <row r="300" spans="1:18" ht="18.75" x14ac:dyDescent="0.3">
      <c r="A300" s="30"/>
      <c r="B300" s="284" t="s">
        <v>51</v>
      </c>
      <c r="C300" s="284">
        <v>1</v>
      </c>
      <c r="D300" s="284">
        <v>0</v>
      </c>
      <c r="E300" s="284">
        <f>C300-D300</f>
        <v>1</v>
      </c>
      <c r="F300" s="284">
        <f>E300*21.74%</f>
        <v>0.21739999999999998</v>
      </c>
      <c r="G300" s="284">
        <f>E300*7.61%</f>
        <v>7.6100000000000001E-2</v>
      </c>
      <c r="H300" s="284">
        <f>E300*2.86%</f>
        <v>2.86E-2</v>
      </c>
      <c r="I300" s="284">
        <f>E300*9.18%</f>
        <v>9.1799999999999993E-2</v>
      </c>
      <c r="J300" s="284">
        <f>E300*4.7%</f>
        <v>4.7E-2</v>
      </c>
      <c r="K300" s="284">
        <f>E300*11%</f>
        <v>0.11</v>
      </c>
      <c r="L300" s="284">
        <f>E300*5.6%</f>
        <v>5.5999999999999994E-2</v>
      </c>
      <c r="M300" s="284">
        <f>E300*50%</f>
        <v>0.5</v>
      </c>
      <c r="N300" s="284">
        <f>E300*10%</f>
        <v>0.1</v>
      </c>
      <c r="O300" s="284">
        <f>E300*110%</f>
        <v>1.1000000000000001</v>
      </c>
      <c r="P300" s="284">
        <f>E300*456%</f>
        <v>4.5599999999999996</v>
      </c>
      <c r="Q300" s="284">
        <v>950</v>
      </c>
      <c r="R300" s="284">
        <f>C300/1000*950</f>
        <v>0.95000000000000007</v>
      </c>
    </row>
    <row r="301" spans="1:18" ht="18.75" x14ac:dyDescent="0.3">
      <c r="A301" s="30"/>
      <c r="B301" s="284" t="s">
        <v>67</v>
      </c>
      <c r="C301" s="284">
        <v>15</v>
      </c>
      <c r="D301" s="284">
        <v>0</v>
      </c>
      <c r="E301" s="284">
        <v>15</v>
      </c>
      <c r="F301" s="284">
        <v>0</v>
      </c>
      <c r="G301" s="284">
        <v>0</v>
      </c>
      <c r="H301" s="284">
        <f>E301*99.8%</f>
        <v>14.97</v>
      </c>
      <c r="I301" s="284">
        <f>E301*379%</f>
        <v>56.85</v>
      </c>
      <c r="J301" s="284">
        <v>0</v>
      </c>
      <c r="K301" s="284">
        <v>0</v>
      </c>
      <c r="L301" s="284">
        <v>0</v>
      </c>
      <c r="M301" s="284">
        <f>E301*2%</f>
        <v>0.3</v>
      </c>
      <c r="N301" s="284">
        <v>0</v>
      </c>
      <c r="O301" s="284">
        <v>0</v>
      </c>
      <c r="P301" s="284">
        <f>E301*0.3%</f>
        <v>4.4999999999999998E-2</v>
      </c>
      <c r="Q301" s="284">
        <v>60</v>
      </c>
      <c r="R301" s="284">
        <f>C301/1000*60</f>
        <v>0.89999999999999991</v>
      </c>
    </row>
    <row r="302" spans="1:18" ht="18.75" x14ac:dyDescent="0.3">
      <c r="A302" s="30"/>
      <c r="B302" s="27" t="s">
        <v>68</v>
      </c>
      <c r="C302" s="4">
        <v>16</v>
      </c>
      <c r="D302" s="4">
        <f>SUM(D301:D301)</f>
        <v>0</v>
      </c>
      <c r="E302" s="4">
        <v>150</v>
      </c>
      <c r="F302" s="4">
        <f t="shared" ref="F302:P302" si="41">SUM(F301:F301)</f>
        <v>0</v>
      </c>
      <c r="G302" s="4">
        <f t="shared" si="41"/>
        <v>0</v>
      </c>
      <c r="H302" s="4">
        <f t="shared" si="41"/>
        <v>14.97</v>
      </c>
      <c r="I302" s="4">
        <f t="shared" si="41"/>
        <v>56.85</v>
      </c>
      <c r="J302" s="4">
        <f t="shared" si="41"/>
        <v>0</v>
      </c>
      <c r="K302" s="4">
        <f t="shared" si="41"/>
        <v>0</v>
      </c>
      <c r="L302" s="4">
        <f t="shared" si="41"/>
        <v>0</v>
      </c>
      <c r="M302" s="4">
        <f t="shared" si="41"/>
        <v>0.3</v>
      </c>
      <c r="N302" s="4">
        <f t="shared" si="41"/>
        <v>0</v>
      </c>
      <c r="O302" s="4">
        <f t="shared" si="41"/>
        <v>0</v>
      </c>
      <c r="P302" s="4">
        <f t="shared" si="41"/>
        <v>4.4999999999999998E-2</v>
      </c>
      <c r="Q302" s="4"/>
      <c r="R302" s="4">
        <f>SUM(R300:R301)</f>
        <v>1.85</v>
      </c>
    </row>
    <row r="303" spans="1:18" ht="18.75" x14ac:dyDescent="0.3">
      <c r="A303" s="30"/>
      <c r="B303" s="122" t="s">
        <v>112</v>
      </c>
      <c r="C303" s="123"/>
      <c r="D303" s="123"/>
      <c r="E303" s="123"/>
      <c r="F303" s="123"/>
      <c r="G303" s="123"/>
      <c r="H303" s="123"/>
      <c r="I303" s="123"/>
      <c r="J303" s="123"/>
      <c r="K303" s="123"/>
      <c r="L303" s="123"/>
      <c r="M303" s="123"/>
      <c r="N303" s="123"/>
      <c r="O303" s="123"/>
      <c r="P303" s="123"/>
      <c r="Q303" s="123"/>
      <c r="R303" s="124"/>
    </row>
    <row r="304" spans="1:18" ht="18.75" x14ac:dyDescent="0.3">
      <c r="A304" s="30"/>
      <c r="B304" s="27" t="s">
        <v>68</v>
      </c>
      <c r="C304" s="4">
        <v>40</v>
      </c>
      <c r="D304" s="4">
        <v>0</v>
      </c>
      <c r="E304" s="4">
        <f>C304-D304</f>
        <v>40</v>
      </c>
      <c r="F304" s="2">
        <f>E304*7.5%</f>
        <v>3</v>
      </c>
      <c r="G304" s="2">
        <f>E304*11.8%</f>
        <v>4.7200000000000006</v>
      </c>
      <c r="H304" s="2">
        <f>E304*74.4%</f>
        <v>29.760000000000005</v>
      </c>
      <c r="I304" s="2">
        <f>E304*436%</f>
        <v>174.4</v>
      </c>
      <c r="J304" s="2">
        <f>E304*0.08%</f>
        <v>3.2000000000000001E-2</v>
      </c>
      <c r="K304" s="2">
        <f>E304*0%</f>
        <v>0</v>
      </c>
      <c r="L304" s="2">
        <f>E304*0%</f>
        <v>0</v>
      </c>
      <c r="M304" s="2">
        <f>E304*29%</f>
        <v>11.6</v>
      </c>
      <c r="N304" s="2">
        <f>E304*90%</f>
        <v>36</v>
      </c>
      <c r="O304" s="2">
        <f>E304*20%</f>
        <v>8</v>
      </c>
      <c r="P304" s="2">
        <f>E304*2.1%</f>
        <v>0.84000000000000008</v>
      </c>
      <c r="Q304" s="2">
        <v>160</v>
      </c>
      <c r="R304" s="4">
        <f>C304/1000*160</f>
        <v>6.4</v>
      </c>
    </row>
    <row r="305" spans="1:18" ht="21" x14ac:dyDescent="0.35">
      <c r="A305" s="30"/>
      <c r="B305" s="160" t="s">
        <v>109</v>
      </c>
      <c r="C305" s="137"/>
      <c r="D305" s="137"/>
      <c r="E305" s="137"/>
      <c r="F305" s="137"/>
      <c r="G305" s="137"/>
      <c r="H305" s="137"/>
      <c r="I305" s="137"/>
      <c r="J305" s="137"/>
      <c r="K305" s="137"/>
      <c r="L305" s="137"/>
      <c r="M305" s="137"/>
      <c r="N305" s="137"/>
      <c r="O305" s="137"/>
      <c r="P305" s="137"/>
      <c r="Q305" s="137"/>
      <c r="R305" s="138"/>
    </row>
    <row r="306" spans="1:18" ht="18.75" x14ac:dyDescent="0.3">
      <c r="A306" s="30"/>
      <c r="B306" s="27" t="s">
        <v>68</v>
      </c>
      <c r="C306" s="4">
        <v>100</v>
      </c>
      <c r="D306" s="4">
        <v>0</v>
      </c>
      <c r="E306" s="4">
        <f>C306-D306</f>
        <v>100</v>
      </c>
      <c r="F306" s="4">
        <f>E306*0.4%</f>
        <v>0.4</v>
      </c>
      <c r="G306" s="4">
        <f>E306*0.4%</f>
        <v>0.4</v>
      </c>
      <c r="H306" s="4">
        <f>E306*9.8%</f>
        <v>9.8000000000000007</v>
      </c>
      <c r="I306" s="4">
        <f>E306*45%</f>
        <v>45</v>
      </c>
      <c r="J306" s="4">
        <f>E306*0.03%</f>
        <v>0.03</v>
      </c>
      <c r="K306" s="4">
        <f>E306*13%</f>
        <v>13</v>
      </c>
      <c r="L306" s="4">
        <v>0</v>
      </c>
      <c r="M306" s="4">
        <f>E306*16%</f>
        <v>16</v>
      </c>
      <c r="N306" s="4">
        <f>E306*11%</f>
        <v>11</v>
      </c>
      <c r="O306" s="4">
        <f>E306*9%</f>
        <v>9</v>
      </c>
      <c r="P306" s="4">
        <f>E306*2.2%</f>
        <v>2.2000000000000002</v>
      </c>
      <c r="Q306" s="4">
        <v>100</v>
      </c>
      <c r="R306" s="4">
        <f>C306/1000*100</f>
        <v>10</v>
      </c>
    </row>
    <row r="307" spans="1:18" ht="21" x14ac:dyDescent="0.35">
      <c r="A307" s="30"/>
      <c r="B307" s="165" t="s">
        <v>103</v>
      </c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7"/>
    </row>
    <row r="308" spans="1:18" ht="18.75" x14ac:dyDescent="0.3">
      <c r="A308" s="30"/>
      <c r="B308" s="27" t="s">
        <v>68</v>
      </c>
      <c r="C308" s="23">
        <v>3</v>
      </c>
      <c r="D308" s="4">
        <v>0</v>
      </c>
      <c r="E308" s="23">
        <f>C308-D308</f>
        <v>3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20</v>
      </c>
      <c r="R308" s="23">
        <f>C308/1000*20</f>
        <v>0.06</v>
      </c>
    </row>
    <row r="309" spans="1:18" ht="23.25" x14ac:dyDescent="0.35">
      <c r="A309" s="31"/>
      <c r="B309" s="21" t="s">
        <v>68</v>
      </c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>
        <f>R308+R306+R304+R302+R298+R296+R289</f>
        <v>61.010999999999996</v>
      </c>
    </row>
    <row r="310" spans="1:18" ht="23.25" x14ac:dyDescent="0.35">
      <c r="A310" s="32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</row>
    <row r="311" spans="1:18" ht="23.25" x14ac:dyDescent="0.35">
      <c r="A311" s="32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</row>
    <row r="312" spans="1:18" ht="23.25" x14ac:dyDescent="0.35">
      <c r="A312" s="32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</row>
    <row r="313" spans="1:18" ht="23.25" x14ac:dyDescent="0.35">
      <c r="A313" s="32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</row>
    <row r="314" spans="1:18" ht="23.25" x14ac:dyDescent="0.35">
      <c r="A314" s="32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</row>
    <row r="315" spans="1:18" ht="50.25" customHeight="1" x14ac:dyDescent="0.35">
      <c r="A315" s="32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</row>
    <row r="316" spans="1:18" ht="26.25" customHeight="1" x14ac:dyDescent="0.35">
      <c r="A316" s="32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</row>
    <row r="317" spans="1:18" ht="15.75" x14ac:dyDescent="0.25">
      <c r="A317" s="190"/>
      <c r="B317" s="238" t="s">
        <v>0</v>
      </c>
      <c r="C317" s="267" t="s">
        <v>18</v>
      </c>
      <c r="D317" s="270" t="s">
        <v>20</v>
      </c>
      <c r="E317" s="270" t="s">
        <v>19</v>
      </c>
      <c r="F317" s="243" t="s">
        <v>1</v>
      </c>
      <c r="G317" s="243" t="s">
        <v>2</v>
      </c>
      <c r="H317" s="243" t="s">
        <v>3</v>
      </c>
      <c r="I317" s="243" t="s">
        <v>4</v>
      </c>
      <c r="J317" s="239" t="s">
        <v>5</v>
      </c>
      <c r="K317" s="239"/>
      <c r="L317" s="239"/>
      <c r="M317" s="239" t="s">
        <v>6</v>
      </c>
      <c r="N317" s="239"/>
      <c r="O317" s="239"/>
      <c r="P317" s="239"/>
      <c r="Q317" s="261" t="s">
        <v>65</v>
      </c>
      <c r="R317" s="264" t="s">
        <v>115</v>
      </c>
    </row>
    <row r="318" spans="1:18" ht="20.25" customHeight="1" x14ac:dyDescent="0.25">
      <c r="A318" s="191"/>
      <c r="B318" s="238"/>
      <c r="C318" s="268"/>
      <c r="D318" s="271"/>
      <c r="E318" s="271"/>
      <c r="F318" s="244"/>
      <c r="G318" s="244"/>
      <c r="H318" s="244"/>
      <c r="I318" s="244"/>
      <c r="J318" s="243" t="s">
        <v>7</v>
      </c>
      <c r="K318" s="243" t="s">
        <v>8</v>
      </c>
      <c r="L318" s="243" t="s">
        <v>9</v>
      </c>
      <c r="M318" s="243" t="s">
        <v>10</v>
      </c>
      <c r="N318" s="243" t="s">
        <v>11</v>
      </c>
      <c r="O318" s="243" t="s">
        <v>12</v>
      </c>
      <c r="P318" s="243" t="s">
        <v>13</v>
      </c>
      <c r="Q318" s="262"/>
      <c r="R318" s="265"/>
    </row>
    <row r="319" spans="1:18" ht="21.75" customHeight="1" x14ac:dyDescent="0.3">
      <c r="A319" s="111"/>
      <c r="B319" s="112" t="s">
        <v>86</v>
      </c>
      <c r="C319" s="269"/>
      <c r="D319" s="272"/>
      <c r="E319" s="272"/>
      <c r="F319" s="245"/>
      <c r="G319" s="245"/>
      <c r="H319" s="245"/>
      <c r="I319" s="245"/>
      <c r="J319" s="245"/>
      <c r="K319" s="245"/>
      <c r="L319" s="245"/>
      <c r="M319" s="245"/>
      <c r="N319" s="245"/>
      <c r="O319" s="245"/>
      <c r="P319" s="245"/>
      <c r="Q319" s="263"/>
      <c r="R319" s="266"/>
    </row>
    <row r="320" spans="1:18" ht="21.75" customHeight="1" x14ac:dyDescent="0.35">
      <c r="A320" s="81"/>
      <c r="B320" s="119" t="s">
        <v>126</v>
      </c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1"/>
    </row>
    <row r="321" spans="1:18" ht="21.75" customHeight="1" x14ac:dyDescent="0.3">
      <c r="A321" s="30"/>
      <c r="B321" s="285" t="s">
        <v>71</v>
      </c>
      <c r="C321" s="286">
        <v>28</v>
      </c>
      <c r="D321" s="286">
        <f>C321*0.25</f>
        <v>7</v>
      </c>
      <c r="E321" s="286">
        <f>C321-D321</f>
        <v>21</v>
      </c>
      <c r="F321" s="286">
        <f>E321*2%</f>
        <v>0.42</v>
      </c>
      <c r="G321" s="286">
        <f>E321*0.4%</f>
        <v>8.4000000000000005E-2</v>
      </c>
      <c r="H321" s="286">
        <f>E321*16.3%</f>
        <v>3.423</v>
      </c>
      <c r="I321" s="286">
        <f>E321*80%</f>
        <v>16.8</v>
      </c>
      <c r="J321" s="286">
        <f>E321*0.12%</f>
        <v>2.5199999999999997E-2</v>
      </c>
      <c r="K321" s="286">
        <f>E321*20%</f>
        <v>4.2</v>
      </c>
      <c r="L321" s="286">
        <v>0</v>
      </c>
      <c r="M321" s="286">
        <f>E321*10%</f>
        <v>2.1</v>
      </c>
      <c r="N321" s="286">
        <f>E321*58%</f>
        <v>12.18</v>
      </c>
      <c r="O321" s="286">
        <f>E321*23%</f>
        <v>4.83</v>
      </c>
      <c r="P321" s="286">
        <f>E321*0.9%</f>
        <v>0.18900000000000003</v>
      </c>
      <c r="Q321" s="286">
        <v>57</v>
      </c>
      <c r="R321" s="286">
        <f>C321/1000*57</f>
        <v>1.5960000000000001</v>
      </c>
    </row>
    <row r="322" spans="1:18" ht="21.75" customHeight="1" x14ac:dyDescent="0.3">
      <c r="A322" s="30"/>
      <c r="B322" s="285" t="s">
        <v>15</v>
      </c>
      <c r="C322" s="286">
        <v>28</v>
      </c>
      <c r="D322" s="286">
        <f>C322*0.2</f>
        <v>5.6000000000000005</v>
      </c>
      <c r="E322" s="286">
        <f>C322-D322</f>
        <v>22.4</v>
      </c>
      <c r="F322" s="286">
        <f>E322*1.3%</f>
        <v>0.29120000000000001</v>
      </c>
      <c r="G322" s="289">
        <f>E322*0.001</f>
        <v>2.24E-2</v>
      </c>
      <c r="H322" s="286">
        <f>E322*0.072</f>
        <v>1.6127999999999998</v>
      </c>
      <c r="I322" s="286">
        <f>E322*0.3</f>
        <v>6.72</v>
      </c>
      <c r="J322" s="286">
        <f>E322*0.06%</f>
        <v>1.3439999999999999E-2</v>
      </c>
      <c r="K322" s="286">
        <f>E322*5%</f>
        <v>1.1199999999999999</v>
      </c>
      <c r="L322" s="286">
        <v>0</v>
      </c>
      <c r="M322" s="286">
        <f>E322*51%</f>
        <v>11.423999999999999</v>
      </c>
      <c r="N322" s="286">
        <f>E322*55%</f>
        <v>12.32</v>
      </c>
      <c r="O322" s="286">
        <f>E322*38%</f>
        <v>8.5119999999999987</v>
      </c>
      <c r="P322" s="286">
        <f>E322*0.7%</f>
        <v>0.15679999999999997</v>
      </c>
      <c r="Q322" s="286">
        <v>60</v>
      </c>
      <c r="R322" s="285">
        <f>C322/1000*60</f>
        <v>1.68</v>
      </c>
    </row>
    <row r="323" spans="1:18" ht="21.75" customHeight="1" x14ac:dyDescent="0.3">
      <c r="A323" s="30"/>
      <c r="B323" s="279" t="s">
        <v>70</v>
      </c>
      <c r="C323" s="286">
        <v>28</v>
      </c>
      <c r="D323" s="286">
        <f>C323*0.2</f>
        <v>5.6000000000000005</v>
      </c>
      <c r="E323" s="286">
        <f>C323-D323</f>
        <v>22.4</v>
      </c>
      <c r="F323" s="286">
        <f>E323*0.015</f>
        <v>0.33599999999999997</v>
      </c>
      <c r="G323" s="286">
        <f>E323*0.001</f>
        <v>2.24E-2</v>
      </c>
      <c r="H323" s="286">
        <f>E323*0.091</f>
        <v>2.0383999999999998</v>
      </c>
      <c r="I323" s="286">
        <f>E323*0.42</f>
        <v>9.4079999999999995</v>
      </c>
      <c r="J323" s="286">
        <f>E323*0.02%</f>
        <v>4.4799999999999996E-3</v>
      </c>
      <c r="K323" s="286">
        <f>E323*10%</f>
        <v>2.2399999999999998</v>
      </c>
      <c r="L323" s="286">
        <v>0</v>
      </c>
      <c r="M323" s="286">
        <f>E323*37%</f>
        <v>8.2880000000000003</v>
      </c>
      <c r="N323" s="286">
        <f>E323*43%</f>
        <v>9.6319999999999997</v>
      </c>
      <c r="O323" s="286">
        <f>E323*22%</f>
        <v>4.9279999999999999</v>
      </c>
      <c r="P323" s="286">
        <f>E323*1.4%</f>
        <v>0.31359999999999993</v>
      </c>
      <c r="Q323" s="286">
        <v>60</v>
      </c>
      <c r="R323" s="286">
        <f>C323/1000*60</f>
        <v>1.68</v>
      </c>
    </row>
    <row r="324" spans="1:18" ht="21.75" customHeight="1" x14ac:dyDescent="0.25">
      <c r="A324" s="74"/>
      <c r="B324" s="279" t="s">
        <v>76</v>
      </c>
      <c r="C324" s="290">
        <v>8</v>
      </c>
      <c r="D324" s="290">
        <v>0</v>
      </c>
      <c r="E324" s="290">
        <f>C324-D324</f>
        <v>8</v>
      </c>
      <c r="F324" s="290">
        <v>0</v>
      </c>
      <c r="G324" s="291">
        <f>E324*0.999</f>
        <v>7.992</v>
      </c>
      <c r="H324" s="290">
        <v>0</v>
      </c>
      <c r="I324" s="290">
        <f>E324*8.99</f>
        <v>71.92</v>
      </c>
      <c r="J324" s="290">
        <f>E324*0.06%</f>
        <v>4.7999999999999996E-3</v>
      </c>
      <c r="K324" s="290">
        <v>0</v>
      </c>
      <c r="L324" s="290">
        <v>0</v>
      </c>
      <c r="M324" s="290">
        <v>0</v>
      </c>
      <c r="N324" s="290">
        <v>0</v>
      </c>
      <c r="O324" s="290">
        <v>0</v>
      </c>
      <c r="P324" s="290">
        <v>0</v>
      </c>
      <c r="Q324" s="290">
        <v>180</v>
      </c>
      <c r="R324" s="290">
        <f>C324/1000*180</f>
        <v>1.44</v>
      </c>
    </row>
    <row r="325" spans="1:18" ht="21.75" customHeight="1" x14ac:dyDescent="0.3">
      <c r="A325" s="30"/>
      <c r="B325" s="279" t="s">
        <v>17</v>
      </c>
      <c r="C325" s="286">
        <v>5</v>
      </c>
      <c r="D325" s="286">
        <v>0</v>
      </c>
      <c r="E325" s="286">
        <f>C325-D325</f>
        <v>5</v>
      </c>
      <c r="F325" s="286">
        <v>0</v>
      </c>
      <c r="G325" s="289">
        <f>E325*0.999</f>
        <v>4.9950000000000001</v>
      </c>
      <c r="H325" s="286">
        <v>0</v>
      </c>
      <c r="I325" s="286">
        <f>E325*8.99</f>
        <v>44.95</v>
      </c>
      <c r="J325" s="286">
        <f>E325*0.06%</f>
        <v>2.9999999999999996E-3</v>
      </c>
      <c r="K325" s="286">
        <v>0</v>
      </c>
      <c r="L325" s="286">
        <v>0</v>
      </c>
      <c r="M325" s="286">
        <v>0</v>
      </c>
      <c r="N325" s="286">
        <v>0</v>
      </c>
      <c r="O325" s="286">
        <v>0</v>
      </c>
      <c r="P325" s="286">
        <v>0</v>
      </c>
      <c r="Q325" s="286">
        <v>150</v>
      </c>
      <c r="R325" s="286">
        <f>C325/1000*150</f>
        <v>0.75</v>
      </c>
    </row>
    <row r="326" spans="1:18" ht="23.25" customHeight="1" x14ac:dyDescent="0.3">
      <c r="A326" s="30"/>
      <c r="B326" s="26" t="s">
        <v>68</v>
      </c>
      <c r="C326" s="4">
        <f t="shared" ref="C326:P326" si="42">SUM(C321:C325)</f>
        <v>97</v>
      </c>
      <c r="D326" s="4">
        <f t="shared" si="42"/>
        <v>18.200000000000003</v>
      </c>
      <c r="E326" s="4">
        <f t="shared" si="42"/>
        <v>78.8</v>
      </c>
      <c r="F326" s="4">
        <f t="shared" si="42"/>
        <v>1.0472000000000001</v>
      </c>
      <c r="G326" s="4">
        <f t="shared" si="42"/>
        <v>13.1158</v>
      </c>
      <c r="H326" s="4">
        <f t="shared" si="42"/>
        <v>7.0741999999999994</v>
      </c>
      <c r="I326" s="4">
        <f t="shared" si="42"/>
        <v>149.798</v>
      </c>
      <c r="J326" s="4">
        <f t="shared" si="42"/>
        <v>5.0919999999999993E-2</v>
      </c>
      <c r="K326" s="4">
        <f t="shared" si="42"/>
        <v>7.5600000000000005</v>
      </c>
      <c r="L326" s="4">
        <f t="shared" si="42"/>
        <v>0</v>
      </c>
      <c r="M326" s="4">
        <f t="shared" si="42"/>
        <v>21.811999999999998</v>
      </c>
      <c r="N326" s="4">
        <f t="shared" si="42"/>
        <v>34.131999999999998</v>
      </c>
      <c r="O326" s="4">
        <f t="shared" si="42"/>
        <v>18.27</v>
      </c>
      <c r="P326" s="4">
        <f t="shared" si="42"/>
        <v>0.65939999999999999</v>
      </c>
      <c r="Q326" s="4"/>
      <c r="R326" s="4">
        <f t="shared" ref="R326" si="43">SUM(R321:R325)</f>
        <v>7.145999999999999</v>
      </c>
    </row>
    <row r="327" spans="1:18" ht="28.5" customHeight="1" x14ac:dyDescent="0.3">
      <c r="A327" s="113"/>
      <c r="B327" s="114"/>
      <c r="C327" s="115"/>
      <c r="D327" s="115"/>
      <c r="E327" s="115"/>
      <c r="F327" s="115"/>
      <c r="G327" s="115"/>
      <c r="H327" s="298" t="s">
        <v>134</v>
      </c>
      <c r="I327" s="115"/>
      <c r="J327" s="115"/>
      <c r="K327" s="115"/>
      <c r="L327" s="115"/>
      <c r="M327" s="115"/>
      <c r="N327" s="115"/>
      <c r="O327" s="115"/>
      <c r="P327" s="115"/>
      <c r="Q327" s="115"/>
      <c r="R327" s="116"/>
    </row>
    <row r="328" spans="1:18" ht="18.75" x14ac:dyDescent="0.3">
      <c r="A328" s="113"/>
      <c r="B328" s="297" t="s">
        <v>133</v>
      </c>
      <c r="C328" s="298">
        <v>40</v>
      </c>
      <c r="D328" s="298">
        <v>0</v>
      </c>
      <c r="E328" s="298">
        <f>SUM(C328:D328)</f>
        <v>40</v>
      </c>
      <c r="F328" s="298">
        <f>E328*7%</f>
        <v>2.8000000000000003</v>
      </c>
      <c r="G328" s="298">
        <f>E328*1%</f>
        <v>0.4</v>
      </c>
      <c r="H328" s="298">
        <f>E328*71.4%</f>
        <v>28.560000000000002</v>
      </c>
      <c r="I328" s="298">
        <f>E328*330%</f>
        <v>132</v>
      </c>
      <c r="J328" s="298">
        <f>E328*0.08%</f>
        <v>3.2000000000000001E-2</v>
      </c>
      <c r="K328" s="298">
        <v>0</v>
      </c>
      <c r="L328" s="298">
        <v>0</v>
      </c>
      <c r="M328" s="298">
        <f>E328*8%</f>
        <v>3.2</v>
      </c>
      <c r="N328" s="298">
        <f>E328*150%</f>
        <v>60</v>
      </c>
      <c r="O328" s="298">
        <f>E328*50%</f>
        <v>20</v>
      </c>
      <c r="P328" s="298">
        <f>E328*1%</f>
        <v>0.4</v>
      </c>
      <c r="Q328" s="298">
        <v>60</v>
      </c>
      <c r="R328" s="298">
        <f>C328/1000*60</f>
        <v>2.4</v>
      </c>
    </row>
    <row r="329" spans="1:18" ht="18.75" x14ac:dyDescent="0.3">
      <c r="A329" s="113"/>
      <c r="B329" s="297" t="s">
        <v>22</v>
      </c>
      <c r="C329" s="298">
        <v>10</v>
      </c>
      <c r="D329" s="298">
        <v>0</v>
      </c>
      <c r="E329" s="298">
        <f>C329-D329</f>
        <v>10</v>
      </c>
      <c r="F329" s="298">
        <f>E329*0.5%</f>
        <v>0.05</v>
      </c>
      <c r="G329" s="298">
        <f>E329*82.5%</f>
        <v>8.25</v>
      </c>
      <c r="H329" s="298">
        <f>E329*0.8%</f>
        <v>0.08</v>
      </c>
      <c r="I329" s="298">
        <f>E329*748%</f>
        <v>74.800000000000011</v>
      </c>
      <c r="J329" s="298">
        <v>0</v>
      </c>
      <c r="K329" s="298">
        <v>0</v>
      </c>
      <c r="L329" s="298">
        <f>E329*0.59%</f>
        <v>5.8999999999999997E-2</v>
      </c>
      <c r="M329" s="298">
        <f>E329*12%</f>
        <v>1.2</v>
      </c>
      <c r="N329" s="298">
        <f>E329*19%</f>
        <v>1.9</v>
      </c>
      <c r="O329" s="298">
        <f>E329*0.4%</f>
        <v>0.04</v>
      </c>
      <c r="P329" s="298">
        <f>E329*0.2%</f>
        <v>0.02</v>
      </c>
      <c r="Q329" s="298">
        <v>480</v>
      </c>
      <c r="R329" s="106">
        <f>C329/1000*480</f>
        <v>4.8</v>
      </c>
    </row>
    <row r="330" spans="1:18" ht="20.25" customHeight="1" x14ac:dyDescent="0.3">
      <c r="A330" s="113"/>
      <c r="B330" s="113" t="s">
        <v>68</v>
      </c>
      <c r="C330" s="106">
        <v>110</v>
      </c>
      <c r="D330" s="106">
        <v>0</v>
      </c>
      <c r="E330" s="106">
        <v>200</v>
      </c>
      <c r="F330" s="106">
        <f t="shared" ref="F330:P330" si="44">SUM(F328:F329)</f>
        <v>2.85</v>
      </c>
      <c r="G330" s="106">
        <f t="shared" si="44"/>
        <v>8.65</v>
      </c>
      <c r="H330" s="106">
        <f t="shared" si="44"/>
        <v>28.64</v>
      </c>
      <c r="I330" s="106">
        <f t="shared" si="44"/>
        <v>206.8</v>
      </c>
      <c r="J330" s="106">
        <f t="shared" si="44"/>
        <v>3.2000000000000001E-2</v>
      </c>
      <c r="K330" s="106">
        <f t="shared" si="44"/>
        <v>0</v>
      </c>
      <c r="L330" s="106">
        <f t="shared" si="44"/>
        <v>5.8999999999999997E-2</v>
      </c>
      <c r="M330" s="106">
        <f t="shared" si="44"/>
        <v>4.4000000000000004</v>
      </c>
      <c r="N330" s="106">
        <f t="shared" si="44"/>
        <v>61.9</v>
      </c>
      <c r="O330" s="106">
        <f t="shared" si="44"/>
        <v>20.04</v>
      </c>
      <c r="P330" s="106">
        <f t="shared" si="44"/>
        <v>0.42000000000000004</v>
      </c>
      <c r="Q330" s="106"/>
      <c r="R330" s="106">
        <f>SUM(R327:R329)</f>
        <v>7.1999999999999993</v>
      </c>
    </row>
    <row r="331" spans="1:18" ht="21" x14ac:dyDescent="0.35">
      <c r="A331" s="104"/>
      <c r="B331" s="258" t="s">
        <v>108</v>
      </c>
      <c r="C331" s="259"/>
      <c r="D331" s="259"/>
      <c r="E331" s="259"/>
      <c r="F331" s="259"/>
      <c r="G331" s="259"/>
      <c r="H331" s="259"/>
      <c r="I331" s="259"/>
      <c r="J331" s="259"/>
      <c r="K331" s="259"/>
      <c r="L331" s="259"/>
      <c r="M331" s="259"/>
      <c r="N331" s="259"/>
      <c r="O331" s="259"/>
      <c r="P331" s="259"/>
      <c r="Q331" s="259"/>
      <c r="R331" s="260"/>
    </row>
    <row r="332" spans="1:18" ht="30" customHeight="1" x14ac:dyDescent="0.3">
      <c r="A332" s="104"/>
      <c r="B332" s="297" t="s">
        <v>73</v>
      </c>
      <c r="C332" s="298">
        <v>90</v>
      </c>
      <c r="D332" s="298">
        <f>C332*25%</f>
        <v>22.5</v>
      </c>
      <c r="E332" s="298">
        <f>C332-D332</f>
        <v>67.5</v>
      </c>
      <c r="F332" s="298">
        <f>E332*18.2%</f>
        <v>12.285</v>
      </c>
      <c r="G332" s="298">
        <f>E332*18.4%</f>
        <v>12.42</v>
      </c>
      <c r="H332" s="298">
        <f>E332*0.7%</f>
        <v>0.47249999999999998</v>
      </c>
      <c r="I332" s="298">
        <f>E332*241%</f>
        <v>162.67500000000001</v>
      </c>
      <c r="J332" s="298">
        <f>E332*0.07%</f>
        <v>4.7250000000000007E-2</v>
      </c>
      <c r="K332" s="298">
        <v>0</v>
      </c>
      <c r="L332" s="298">
        <f>E332*0.07%</f>
        <v>4.7250000000000007E-2</v>
      </c>
      <c r="M332" s="298">
        <f>E332*16%</f>
        <v>10.8</v>
      </c>
      <c r="N332" s="298">
        <f>E332*165%</f>
        <v>111.375</v>
      </c>
      <c r="O332" s="298">
        <f>E332*18%</f>
        <v>12.15</v>
      </c>
      <c r="P332" s="298">
        <f>E332*1.6%</f>
        <v>1.08</v>
      </c>
      <c r="Q332" s="298">
        <v>270</v>
      </c>
      <c r="R332" s="298">
        <f>C332/1000*270</f>
        <v>24.3</v>
      </c>
    </row>
    <row r="333" spans="1:18" ht="18.75" x14ac:dyDescent="0.3">
      <c r="A333" s="104"/>
      <c r="B333" s="105" t="s">
        <v>68</v>
      </c>
      <c r="C333" s="106">
        <f>SUM(C332:C332)</f>
        <v>90</v>
      </c>
      <c r="D333" s="106">
        <f>SUM(D332:D332)</f>
        <v>22.5</v>
      </c>
      <c r="E333" s="106">
        <f>C333-D333</f>
        <v>67.5</v>
      </c>
      <c r="F333" s="106">
        <f t="shared" ref="F333:P333" si="45">SUM(F332:F332)</f>
        <v>12.285</v>
      </c>
      <c r="G333" s="106">
        <f t="shared" si="45"/>
        <v>12.42</v>
      </c>
      <c r="H333" s="106">
        <f t="shared" si="45"/>
        <v>0.47249999999999998</v>
      </c>
      <c r="I333" s="106">
        <f t="shared" si="45"/>
        <v>162.67500000000001</v>
      </c>
      <c r="J333" s="106">
        <f t="shared" si="45"/>
        <v>4.7250000000000007E-2</v>
      </c>
      <c r="K333" s="106">
        <f t="shared" si="45"/>
        <v>0</v>
      </c>
      <c r="L333" s="106">
        <f t="shared" si="45"/>
        <v>4.7250000000000007E-2</v>
      </c>
      <c r="M333" s="106">
        <f t="shared" si="45"/>
        <v>10.8</v>
      </c>
      <c r="N333" s="106">
        <f t="shared" si="45"/>
        <v>111.375</v>
      </c>
      <c r="O333" s="106">
        <f t="shared" si="45"/>
        <v>12.15</v>
      </c>
      <c r="P333" s="106">
        <f t="shared" si="45"/>
        <v>1.08</v>
      </c>
      <c r="Q333" s="106"/>
      <c r="R333" s="106">
        <f t="shared" ref="R333" si="46">SUM(R332:R332)</f>
        <v>24.3</v>
      </c>
    </row>
    <row r="334" spans="1:18" ht="23.25" customHeight="1" x14ac:dyDescent="0.3">
      <c r="A334" s="104"/>
      <c r="B334" s="173" t="s">
        <v>104</v>
      </c>
      <c r="C334" s="228"/>
      <c r="D334" s="228"/>
      <c r="E334" s="228"/>
      <c r="F334" s="228"/>
      <c r="G334" s="228"/>
      <c r="H334" s="228"/>
      <c r="I334" s="228"/>
      <c r="J334" s="228"/>
      <c r="K334" s="228"/>
      <c r="L334" s="228"/>
      <c r="M334" s="228"/>
      <c r="N334" s="228"/>
      <c r="O334" s="228"/>
      <c r="P334" s="228"/>
      <c r="Q334" s="228"/>
      <c r="R334" s="229"/>
    </row>
    <row r="335" spans="1:18" ht="18.75" x14ac:dyDescent="0.3">
      <c r="A335" s="104"/>
      <c r="B335" s="105" t="s">
        <v>68</v>
      </c>
      <c r="C335" s="106">
        <v>30</v>
      </c>
      <c r="D335" s="106">
        <v>0</v>
      </c>
      <c r="E335" s="106">
        <v>30</v>
      </c>
      <c r="F335" s="106">
        <f>E335*7.9%</f>
        <v>2.37</v>
      </c>
      <c r="G335" s="106">
        <f>E335*1%</f>
        <v>0.3</v>
      </c>
      <c r="H335" s="106">
        <f>E335*48.1%</f>
        <v>14.430000000000001</v>
      </c>
      <c r="I335" s="106">
        <f>E335*239%</f>
        <v>71.7</v>
      </c>
      <c r="J335" s="106">
        <f>E335*0.16%</f>
        <v>4.8000000000000001E-2</v>
      </c>
      <c r="K335" s="106">
        <v>0</v>
      </c>
      <c r="L335" s="106">
        <v>0</v>
      </c>
      <c r="M335" s="106">
        <f>E335*23%</f>
        <v>6.9</v>
      </c>
      <c r="N335" s="106">
        <f>E335*87%</f>
        <v>26.1</v>
      </c>
      <c r="O335" s="106">
        <f>E335*33%</f>
        <v>9.9</v>
      </c>
      <c r="P335" s="106">
        <f>E335*2%</f>
        <v>0.6</v>
      </c>
      <c r="Q335" s="106">
        <v>50</v>
      </c>
      <c r="R335" s="106">
        <f>C335/1000*50</f>
        <v>1.5</v>
      </c>
    </row>
    <row r="336" spans="1:18" ht="21" customHeight="1" x14ac:dyDescent="0.35">
      <c r="A336" s="104"/>
      <c r="B336" s="170" t="s">
        <v>105</v>
      </c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  <c r="Q336" s="171"/>
      <c r="R336" s="172"/>
    </row>
    <row r="337" spans="1:18" ht="21" customHeight="1" x14ac:dyDescent="0.3">
      <c r="A337" s="104"/>
      <c r="B337" s="298" t="s">
        <v>51</v>
      </c>
      <c r="C337" s="298">
        <v>1</v>
      </c>
      <c r="D337" s="298">
        <v>0</v>
      </c>
      <c r="E337" s="298">
        <f>C337-D337</f>
        <v>1</v>
      </c>
      <c r="F337" s="298">
        <f>E337*21.74%</f>
        <v>0.21739999999999998</v>
      </c>
      <c r="G337" s="298">
        <f>E337*7.61%</f>
        <v>7.6100000000000001E-2</v>
      </c>
      <c r="H337" s="298">
        <f>E337*2.86%</f>
        <v>2.86E-2</v>
      </c>
      <c r="I337" s="298">
        <f>E337*9.18%</f>
        <v>9.1799999999999993E-2</v>
      </c>
      <c r="J337" s="298">
        <f>E337*4.7%</f>
        <v>4.7E-2</v>
      </c>
      <c r="K337" s="298">
        <f>E337*11%</f>
        <v>0.11</v>
      </c>
      <c r="L337" s="298">
        <f>E337*5.6%</f>
        <v>5.5999999999999994E-2</v>
      </c>
      <c r="M337" s="298">
        <f>E337*50%</f>
        <v>0.5</v>
      </c>
      <c r="N337" s="298">
        <f>E337*10%</f>
        <v>0.1</v>
      </c>
      <c r="O337" s="298">
        <f>E337*110%</f>
        <v>1.1000000000000001</v>
      </c>
      <c r="P337" s="298">
        <f>E337*456%</f>
        <v>4.5599999999999996</v>
      </c>
      <c r="Q337" s="298">
        <v>950</v>
      </c>
      <c r="R337" s="298">
        <f>C337/1000*950</f>
        <v>0.95000000000000007</v>
      </c>
    </row>
    <row r="338" spans="1:18" ht="21" customHeight="1" x14ac:dyDescent="0.3">
      <c r="A338" s="104"/>
      <c r="B338" s="298" t="s">
        <v>67</v>
      </c>
      <c r="C338" s="298">
        <v>15</v>
      </c>
      <c r="D338" s="298">
        <v>0</v>
      </c>
      <c r="E338" s="298">
        <v>15</v>
      </c>
      <c r="F338" s="298">
        <v>0</v>
      </c>
      <c r="G338" s="298">
        <v>0</v>
      </c>
      <c r="H338" s="298">
        <f>E338*99.8%</f>
        <v>14.97</v>
      </c>
      <c r="I338" s="298">
        <f>E338*379%</f>
        <v>56.85</v>
      </c>
      <c r="J338" s="298">
        <v>0</v>
      </c>
      <c r="K338" s="298">
        <v>0</v>
      </c>
      <c r="L338" s="298">
        <v>0</v>
      </c>
      <c r="M338" s="298">
        <f>E338*2%</f>
        <v>0.3</v>
      </c>
      <c r="N338" s="298">
        <v>0</v>
      </c>
      <c r="O338" s="298">
        <v>0</v>
      </c>
      <c r="P338" s="298">
        <f>E338*0.3%</f>
        <v>4.4999999999999998E-2</v>
      </c>
      <c r="Q338" s="298">
        <v>60</v>
      </c>
      <c r="R338" s="298">
        <f>C338/1000*60</f>
        <v>0.89999999999999991</v>
      </c>
    </row>
    <row r="339" spans="1:18" ht="18.75" x14ac:dyDescent="0.3">
      <c r="A339" s="104"/>
      <c r="B339" s="105" t="s">
        <v>68</v>
      </c>
      <c r="C339" s="106">
        <v>16</v>
      </c>
      <c r="D339" s="106">
        <f>SUM(D338:D338)</f>
        <v>0</v>
      </c>
      <c r="E339" s="106">
        <v>150</v>
      </c>
      <c r="F339" s="106">
        <f t="shared" ref="F339:P339" si="47">SUM(F338:F338)</f>
        <v>0</v>
      </c>
      <c r="G339" s="106">
        <f t="shared" si="47"/>
        <v>0</v>
      </c>
      <c r="H339" s="106">
        <f t="shared" si="47"/>
        <v>14.97</v>
      </c>
      <c r="I339" s="106">
        <f t="shared" si="47"/>
        <v>56.85</v>
      </c>
      <c r="J339" s="106">
        <f t="shared" si="47"/>
        <v>0</v>
      </c>
      <c r="K339" s="106">
        <f t="shared" si="47"/>
        <v>0</v>
      </c>
      <c r="L339" s="106">
        <f t="shared" si="47"/>
        <v>0</v>
      </c>
      <c r="M339" s="106">
        <f t="shared" si="47"/>
        <v>0.3</v>
      </c>
      <c r="N339" s="106">
        <f t="shared" si="47"/>
        <v>0</v>
      </c>
      <c r="O339" s="106">
        <f t="shared" si="47"/>
        <v>0</v>
      </c>
      <c r="P339" s="106">
        <f t="shared" si="47"/>
        <v>4.4999999999999998E-2</v>
      </c>
      <c r="Q339" s="106"/>
      <c r="R339" s="106">
        <f>SUM(R337:R338)</f>
        <v>1.85</v>
      </c>
    </row>
    <row r="340" spans="1:18" ht="21.75" customHeight="1" x14ac:dyDescent="0.3">
      <c r="A340" s="104"/>
      <c r="B340" s="173" t="s">
        <v>112</v>
      </c>
      <c r="C340" s="174"/>
      <c r="D340" s="174"/>
      <c r="E340" s="174"/>
      <c r="F340" s="174"/>
      <c r="G340" s="174"/>
      <c r="H340" s="174"/>
      <c r="I340" s="174"/>
      <c r="J340" s="174"/>
      <c r="K340" s="174"/>
      <c r="L340" s="174"/>
      <c r="M340" s="174"/>
      <c r="N340" s="174"/>
      <c r="O340" s="174"/>
      <c r="P340" s="174"/>
      <c r="Q340" s="174"/>
      <c r="R340" s="175"/>
    </row>
    <row r="341" spans="1:18" ht="18.75" x14ac:dyDescent="0.3">
      <c r="A341" s="104"/>
      <c r="B341" s="105" t="s">
        <v>68</v>
      </c>
      <c r="C341" s="106">
        <v>40</v>
      </c>
      <c r="D341" s="106">
        <v>0</v>
      </c>
      <c r="E341" s="106">
        <f>C341-D341</f>
        <v>40</v>
      </c>
      <c r="F341" s="115">
        <f>E341*7.5%</f>
        <v>3</v>
      </c>
      <c r="G341" s="115">
        <f>E341*11.8%</f>
        <v>4.7200000000000006</v>
      </c>
      <c r="H341" s="115">
        <f>E341*74.4%</f>
        <v>29.760000000000005</v>
      </c>
      <c r="I341" s="115">
        <f>E341*436%</f>
        <v>174.4</v>
      </c>
      <c r="J341" s="115">
        <f>E341*0.08%</f>
        <v>3.2000000000000001E-2</v>
      </c>
      <c r="K341" s="115">
        <f>E341*0%</f>
        <v>0</v>
      </c>
      <c r="L341" s="115">
        <f>E341*0%</f>
        <v>0</v>
      </c>
      <c r="M341" s="115">
        <f>E341*29%</f>
        <v>11.6</v>
      </c>
      <c r="N341" s="115">
        <f>E341*90%</f>
        <v>36</v>
      </c>
      <c r="O341" s="115">
        <f>E341*20%</f>
        <v>8</v>
      </c>
      <c r="P341" s="115">
        <f>E341*2.1%</f>
        <v>0.84000000000000008</v>
      </c>
      <c r="Q341" s="115">
        <v>160</v>
      </c>
      <c r="R341" s="106">
        <f>C341/1000*160</f>
        <v>6.4</v>
      </c>
    </row>
    <row r="342" spans="1:18" ht="21" x14ac:dyDescent="0.35">
      <c r="A342" s="33"/>
      <c r="B342" s="160" t="s">
        <v>111</v>
      </c>
      <c r="C342" s="176"/>
      <c r="D342" s="176"/>
      <c r="E342" s="176"/>
      <c r="F342" s="176"/>
      <c r="G342" s="176"/>
      <c r="H342" s="176"/>
      <c r="I342" s="176"/>
      <c r="J342" s="176"/>
      <c r="K342" s="176"/>
      <c r="L342" s="176"/>
      <c r="M342" s="176"/>
      <c r="N342" s="176"/>
      <c r="O342" s="176"/>
      <c r="P342" s="176"/>
      <c r="Q342" s="176"/>
      <c r="R342" s="177"/>
    </row>
    <row r="343" spans="1:18" ht="18.75" x14ac:dyDescent="0.3">
      <c r="A343" s="33"/>
      <c r="B343" s="27" t="s">
        <v>68</v>
      </c>
      <c r="C343" s="4">
        <v>100</v>
      </c>
      <c r="D343" s="4">
        <v>0</v>
      </c>
      <c r="E343" s="4">
        <f>C343-D343</f>
        <v>100</v>
      </c>
      <c r="F343" s="4">
        <f>E343*0.8%</f>
        <v>0.8</v>
      </c>
      <c r="G343" s="4">
        <f>E343*0.3%</f>
        <v>0.3</v>
      </c>
      <c r="H343" s="4">
        <f>E343*8.1%</f>
        <v>8.1</v>
      </c>
      <c r="I343" s="4">
        <f>E343*40%</f>
        <v>40</v>
      </c>
      <c r="J343" s="4">
        <f>E343*0.06%</f>
        <v>0.06</v>
      </c>
      <c r="K343" s="4">
        <f>E343*38%</f>
        <v>38</v>
      </c>
      <c r="L343" s="4">
        <v>0</v>
      </c>
      <c r="M343" s="4">
        <f>E343*35%</f>
        <v>35</v>
      </c>
      <c r="N343" s="4">
        <f>E343*17%</f>
        <v>17</v>
      </c>
      <c r="O343" s="4">
        <f>E343*35%</f>
        <v>35</v>
      </c>
      <c r="P343" s="4">
        <f>E343*0.1%</f>
        <v>0.1</v>
      </c>
      <c r="Q343" s="4">
        <v>120</v>
      </c>
      <c r="R343" s="4">
        <f>C343/1000*120</f>
        <v>12</v>
      </c>
    </row>
    <row r="344" spans="1:18" ht="18.75" x14ac:dyDescent="0.3">
      <c r="A344" s="104"/>
      <c r="B344" s="178" t="s">
        <v>103</v>
      </c>
      <c r="C344" s="179"/>
      <c r="D344" s="179"/>
      <c r="E344" s="179"/>
      <c r="F344" s="179"/>
      <c r="G344" s="179"/>
      <c r="H344" s="179"/>
      <c r="I344" s="179"/>
      <c r="J344" s="179"/>
      <c r="K344" s="179"/>
      <c r="L344" s="179"/>
      <c r="M344" s="179"/>
      <c r="N344" s="179"/>
      <c r="O344" s="179"/>
      <c r="P344" s="179"/>
      <c r="Q344" s="179"/>
      <c r="R344" s="180"/>
    </row>
    <row r="345" spans="1:18" ht="18.75" x14ac:dyDescent="0.3">
      <c r="A345" s="104"/>
      <c r="B345" s="105" t="s">
        <v>74</v>
      </c>
      <c r="C345" s="108">
        <v>3</v>
      </c>
      <c r="D345" s="106">
        <v>0</v>
      </c>
      <c r="E345" s="108">
        <f>C345-D345</f>
        <v>3</v>
      </c>
      <c r="F345" s="106">
        <v>0</v>
      </c>
      <c r="G345" s="106">
        <v>0</v>
      </c>
      <c r="H345" s="106">
        <v>0</v>
      </c>
      <c r="I345" s="106">
        <v>0</v>
      </c>
      <c r="J345" s="106">
        <v>0</v>
      </c>
      <c r="K345" s="106">
        <v>0</v>
      </c>
      <c r="L345" s="106">
        <v>0</v>
      </c>
      <c r="M345" s="106">
        <v>0</v>
      </c>
      <c r="N345" s="106">
        <v>0</v>
      </c>
      <c r="O345" s="106">
        <v>0</v>
      </c>
      <c r="P345" s="106">
        <v>0</v>
      </c>
      <c r="Q345" s="106">
        <v>20</v>
      </c>
      <c r="R345" s="108">
        <f>C345/1000*20</f>
        <v>0.06</v>
      </c>
    </row>
    <row r="346" spans="1:18" ht="23.25" x14ac:dyDescent="0.35">
      <c r="A346" s="117"/>
      <c r="B346" s="109" t="s">
        <v>68</v>
      </c>
      <c r="C346" s="109"/>
      <c r="D346" s="109"/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>
        <f>R330+R333+R335+R341+R343+R345+R339+R326</f>
        <v>60.456000000000003</v>
      </c>
    </row>
    <row r="347" spans="1:18" ht="23.25" x14ac:dyDescent="0.35">
      <c r="A347" s="32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</row>
    <row r="348" spans="1:18" ht="23.25" x14ac:dyDescent="0.35">
      <c r="A348" s="32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1:18" ht="23.25" x14ac:dyDescent="0.35">
      <c r="A349" s="32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</row>
    <row r="350" spans="1:18" ht="18.75" x14ac:dyDescent="0.3">
      <c r="A350" s="33"/>
      <c r="B350" s="142" t="s">
        <v>0</v>
      </c>
      <c r="C350" s="149" t="s">
        <v>18</v>
      </c>
      <c r="D350" s="146" t="s">
        <v>20</v>
      </c>
      <c r="E350" s="146" t="s">
        <v>19</v>
      </c>
      <c r="F350" s="128" t="s">
        <v>1</v>
      </c>
      <c r="G350" s="128" t="s">
        <v>2</v>
      </c>
      <c r="H350" s="128" t="s">
        <v>3</v>
      </c>
      <c r="I350" s="128" t="s">
        <v>4</v>
      </c>
      <c r="J350" s="143" t="s">
        <v>5</v>
      </c>
      <c r="K350" s="143"/>
      <c r="L350" s="143"/>
      <c r="M350" s="143" t="s">
        <v>6</v>
      </c>
      <c r="N350" s="143"/>
      <c r="O350" s="143"/>
      <c r="P350" s="143"/>
      <c r="Q350" s="139" t="s">
        <v>65</v>
      </c>
      <c r="R350" s="240" t="s">
        <v>115</v>
      </c>
    </row>
    <row r="351" spans="1:18" ht="18.75" x14ac:dyDescent="0.3">
      <c r="A351" s="33"/>
      <c r="B351" s="142"/>
      <c r="C351" s="150"/>
      <c r="D351" s="147"/>
      <c r="E351" s="147"/>
      <c r="F351" s="129"/>
      <c r="G351" s="129"/>
      <c r="H351" s="129"/>
      <c r="I351" s="129"/>
      <c r="J351" s="128" t="s">
        <v>7</v>
      </c>
      <c r="K351" s="144" t="s">
        <v>8</v>
      </c>
      <c r="L351" s="128" t="s">
        <v>9</v>
      </c>
      <c r="M351" s="128" t="s">
        <v>10</v>
      </c>
      <c r="N351" s="128" t="s">
        <v>11</v>
      </c>
      <c r="O351" s="128" t="s">
        <v>12</v>
      </c>
      <c r="P351" s="128" t="s">
        <v>13</v>
      </c>
      <c r="Q351" s="140"/>
      <c r="R351" s="241"/>
    </row>
    <row r="352" spans="1:18" ht="20.25" x14ac:dyDescent="0.3">
      <c r="A352" s="33"/>
      <c r="B352" s="1" t="s">
        <v>87</v>
      </c>
      <c r="C352" s="151"/>
      <c r="D352" s="148"/>
      <c r="E352" s="148"/>
      <c r="F352" s="130"/>
      <c r="G352" s="130"/>
      <c r="H352" s="130"/>
      <c r="I352" s="130"/>
      <c r="J352" s="130"/>
      <c r="K352" s="145"/>
      <c r="L352" s="130"/>
      <c r="M352" s="130"/>
      <c r="N352" s="130"/>
      <c r="O352" s="130"/>
      <c r="P352" s="130"/>
      <c r="Q352" s="141"/>
      <c r="R352" s="242"/>
    </row>
    <row r="353" spans="1:18" ht="20.25" x14ac:dyDescent="0.3">
      <c r="A353" s="33"/>
      <c r="B353" s="211" t="s">
        <v>127</v>
      </c>
      <c r="C353" s="212"/>
      <c r="D353" s="212"/>
      <c r="E353" s="212"/>
      <c r="F353" s="212"/>
      <c r="G353" s="212"/>
      <c r="H353" s="212"/>
      <c r="I353" s="212"/>
      <c r="J353" s="212"/>
      <c r="K353" s="212"/>
      <c r="L353" s="212"/>
      <c r="M353" s="212"/>
      <c r="N353" s="212"/>
      <c r="O353" s="212"/>
      <c r="P353" s="212"/>
      <c r="Q353" s="212"/>
      <c r="R353" s="213"/>
    </row>
    <row r="354" spans="1:18" ht="18.75" x14ac:dyDescent="0.3">
      <c r="A354" s="22"/>
      <c r="B354" s="283" t="s">
        <v>23</v>
      </c>
      <c r="C354" s="284">
        <v>50</v>
      </c>
      <c r="D354" s="284">
        <f>C354*0.26</f>
        <v>13</v>
      </c>
      <c r="E354" s="284">
        <f>SUM(C354-D354)</f>
        <v>37</v>
      </c>
      <c r="F354" s="284">
        <f>E354*18.6%</f>
        <v>6.8820000000000006</v>
      </c>
      <c r="G354" s="284">
        <f>E354*16%</f>
        <v>5.92</v>
      </c>
      <c r="H354" s="284">
        <v>0</v>
      </c>
      <c r="I354" s="284">
        <f>E354*218%</f>
        <v>80.660000000000011</v>
      </c>
      <c r="J354" s="284">
        <f>E354*0.06%</f>
        <v>2.2199999999999998E-2</v>
      </c>
      <c r="K354" s="284">
        <v>0</v>
      </c>
      <c r="L354" s="284">
        <v>0</v>
      </c>
      <c r="M354" s="284">
        <f>E354*9%</f>
        <v>3.33</v>
      </c>
      <c r="N354" s="284">
        <f>E354*188%</f>
        <v>69.56</v>
      </c>
      <c r="O354" s="284">
        <f>E354*22%</f>
        <v>8.14</v>
      </c>
      <c r="P354" s="284">
        <f>E354*2.7%</f>
        <v>0.99900000000000011</v>
      </c>
      <c r="Q354" s="284">
        <v>490</v>
      </c>
      <c r="R354" s="284">
        <f>C354/1000*490</f>
        <v>24.5</v>
      </c>
    </row>
    <row r="355" spans="1:18" ht="18.75" x14ac:dyDescent="0.3">
      <c r="A355" s="22"/>
      <c r="B355" s="283" t="s">
        <v>72</v>
      </c>
      <c r="C355" s="299">
        <v>16</v>
      </c>
      <c r="D355" s="284">
        <f>C355*0.16</f>
        <v>2.56</v>
      </c>
      <c r="E355" s="284">
        <f>C355-D355</f>
        <v>13.44</v>
      </c>
      <c r="F355" s="284">
        <f>E355*1.4%</f>
        <v>0.18815999999999997</v>
      </c>
      <c r="G355" s="296">
        <v>0</v>
      </c>
      <c r="H355" s="284">
        <f>E355*9.1%</f>
        <v>1.2230399999999999</v>
      </c>
      <c r="I355" s="284">
        <f>E355*41%</f>
        <v>5.5103999999999997</v>
      </c>
      <c r="J355" s="284">
        <f>E355*0.05%</f>
        <v>6.7200000000000003E-3</v>
      </c>
      <c r="K355" s="284">
        <f>E355*10%</f>
        <v>1.3440000000000001</v>
      </c>
      <c r="L355" s="284">
        <v>0</v>
      </c>
      <c r="M355" s="284">
        <f>E355*31%</f>
        <v>4.1663999999999994</v>
      </c>
      <c r="N355" s="284">
        <f>E355*58%</f>
        <v>7.7951999999999995</v>
      </c>
      <c r="O355" s="284">
        <f>E355*14%</f>
        <v>1.8816000000000002</v>
      </c>
      <c r="P355" s="284">
        <f>E355*0.8%</f>
        <v>0.10752</v>
      </c>
      <c r="Q355" s="284">
        <v>40</v>
      </c>
      <c r="R355" s="284">
        <f>C355/1000*40</f>
        <v>0.64</v>
      </c>
    </row>
    <row r="356" spans="1:18" ht="18.75" x14ac:dyDescent="0.3">
      <c r="A356" s="30"/>
      <c r="B356" s="283" t="s">
        <v>71</v>
      </c>
      <c r="C356" s="284">
        <v>60</v>
      </c>
      <c r="D356" s="284">
        <f>C356*25%</f>
        <v>15</v>
      </c>
      <c r="E356" s="284">
        <f>C356-D356</f>
        <v>45</v>
      </c>
      <c r="F356" s="284">
        <f>E356*2%</f>
        <v>0.9</v>
      </c>
      <c r="G356" s="284">
        <f>E356*0.4%</f>
        <v>0.18</v>
      </c>
      <c r="H356" s="284">
        <f>E356*16.3%</f>
        <v>7.335</v>
      </c>
      <c r="I356" s="284">
        <f>E356*80%</f>
        <v>36</v>
      </c>
      <c r="J356" s="284">
        <f>E356*0.12%</f>
        <v>5.3999999999999992E-2</v>
      </c>
      <c r="K356" s="284">
        <f>E356*20%</f>
        <v>9</v>
      </c>
      <c r="L356" s="284">
        <v>0</v>
      </c>
      <c r="M356" s="284">
        <f>E356*10%</f>
        <v>4.5</v>
      </c>
      <c r="N356" s="284">
        <f>E356*58%</f>
        <v>26.099999999999998</v>
      </c>
      <c r="O356" s="284">
        <f>E356*23%</f>
        <v>10.35</v>
      </c>
      <c r="P356" s="284">
        <f>E356*0.9%</f>
        <v>0.40500000000000003</v>
      </c>
      <c r="Q356" s="284">
        <v>57</v>
      </c>
      <c r="R356" s="284">
        <f>C356/1000*57</f>
        <v>3.42</v>
      </c>
    </row>
    <row r="357" spans="1:18" ht="18.75" x14ac:dyDescent="0.3">
      <c r="A357" s="22"/>
      <c r="B357" s="283" t="s">
        <v>22</v>
      </c>
      <c r="C357" s="284">
        <v>9</v>
      </c>
      <c r="D357" s="284">
        <v>0</v>
      </c>
      <c r="E357" s="284">
        <f>C357-D357</f>
        <v>9</v>
      </c>
      <c r="F357" s="284">
        <f>E357*0.5%</f>
        <v>4.4999999999999998E-2</v>
      </c>
      <c r="G357" s="284">
        <f>E357*82.5%</f>
        <v>7.4249999999999998</v>
      </c>
      <c r="H357" s="284">
        <f>E357*0.8%</f>
        <v>7.2000000000000008E-2</v>
      </c>
      <c r="I357" s="284">
        <f>E357*748%</f>
        <v>67.320000000000007</v>
      </c>
      <c r="J357" s="284">
        <v>0</v>
      </c>
      <c r="K357" s="284">
        <v>0</v>
      </c>
      <c r="L357" s="284">
        <f>E357*0.59%</f>
        <v>5.3100000000000001E-2</v>
      </c>
      <c r="M357" s="284">
        <f>E357*12%</f>
        <v>1.08</v>
      </c>
      <c r="N357" s="284">
        <f>E357*19%</f>
        <v>1.71</v>
      </c>
      <c r="O357" s="284">
        <f>E357*0.4%</f>
        <v>3.6000000000000004E-2</v>
      </c>
      <c r="P357" s="284">
        <f>E357*0.2%</f>
        <v>1.8000000000000002E-2</v>
      </c>
      <c r="Q357" s="284">
        <v>480</v>
      </c>
      <c r="R357" s="4">
        <f>C357/1000*480</f>
        <v>4.3199999999999994</v>
      </c>
    </row>
    <row r="358" spans="1:18" ht="18.75" x14ac:dyDescent="0.3">
      <c r="A358" s="30"/>
      <c r="B358" s="26" t="s">
        <v>68</v>
      </c>
      <c r="C358" s="3">
        <f t="shared" ref="C358:P358" si="48">SUM(C356:C357)</f>
        <v>69</v>
      </c>
      <c r="D358" s="3">
        <f t="shared" si="48"/>
        <v>15</v>
      </c>
      <c r="E358" s="3">
        <f t="shared" si="48"/>
        <v>54</v>
      </c>
      <c r="F358" s="3">
        <f t="shared" si="48"/>
        <v>0.94500000000000006</v>
      </c>
      <c r="G358" s="3">
        <f t="shared" si="48"/>
        <v>7.6049999999999995</v>
      </c>
      <c r="H358" s="3">
        <f t="shared" si="48"/>
        <v>7.407</v>
      </c>
      <c r="I358" s="3">
        <f t="shared" si="48"/>
        <v>103.32000000000001</v>
      </c>
      <c r="J358" s="3">
        <f t="shared" si="48"/>
        <v>5.3999999999999992E-2</v>
      </c>
      <c r="K358" s="3">
        <f t="shared" si="48"/>
        <v>9</v>
      </c>
      <c r="L358" s="3">
        <f t="shared" si="48"/>
        <v>5.3100000000000001E-2</v>
      </c>
      <c r="M358" s="3">
        <f t="shared" si="48"/>
        <v>5.58</v>
      </c>
      <c r="N358" s="3">
        <f t="shared" si="48"/>
        <v>27.81</v>
      </c>
      <c r="O358" s="3">
        <f t="shared" si="48"/>
        <v>10.385999999999999</v>
      </c>
      <c r="P358" s="3">
        <f t="shared" si="48"/>
        <v>0.42300000000000004</v>
      </c>
      <c r="Q358" s="3"/>
      <c r="R358" s="3">
        <f>SUM(R354:R357)</f>
        <v>32.880000000000003</v>
      </c>
    </row>
    <row r="359" spans="1:18" ht="21" x14ac:dyDescent="0.3">
      <c r="A359" s="30"/>
      <c r="B359" s="214" t="s">
        <v>128</v>
      </c>
      <c r="C359" s="215"/>
      <c r="D359" s="215"/>
      <c r="E359" s="215"/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6"/>
    </row>
    <row r="360" spans="1:18" ht="18.75" x14ac:dyDescent="0.3">
      <c r="A360" s="22"/>
      <c r="B360" s="285" t="s">
        <v>72</v>
      </c>
      <c r="C360" s="300">
        <v>20</v>
      </c>
      <c r="D360" s="286">
        <f>C360*0.16</f>
        <v>3.2</v>
      </c>
      <c r="E360" s="286">
        <f>C360-D360</f>
        <v>16.8</v>
      </c>
      <c r="F360" s="286">
        <f>E360*1.4%</f>
        <v>0.23519999999999999</v>
      </c>
      <c r="G360" s="287">
        <v>0</v>
      </c>
      <c r="H360" s="286">
        <f>E360*9.1%</f>
        <v>1.5287999999999999</v>
      </c>
      <c r="I360" s="286">
        <f>E360*41%</f>
        <v>6.8879999999999999</v>
      </c>
      <c r="J360" s="286">
        <f>E360*0.05%</f>
        <v>8.4000000000000012E-3</v>
      </c>
      <c r="K360" s="286">
        <f>E360*10%</f>
        <v>1.6800000000000002</v>
      </c>
      <c r="L360" s="286">
        <v>0</v>
      </c>
      <c r="M360" s="286">
        <f>E360*31%</f>
        <v>5.2080000000000002</v>
      </c>
      <c r="N360" s="286">
        <f>E360*58%</f>
        <v>9.7439999999999998</v>
      </c>
      <c r="O360" s="286">
        <f>E360*14%</f>
        <v>2.3520000000000003</v>
      </c>
      <c r="P360" s="286">
        <f>E360*0.8%</f>
        <v>0.13440000000000002</v>
      </c>
      <c r="Q360" s="286">
        <v>40</v>
      </c>
      <c r="R360" s="286">
        <f>C360/1000*40</f>
        <v>0.8</v>
      </c>
    </row>
    <row r="361" spans="1:18" ht="18.75" customHeight="1" x14ac:dyDescent="0.3">
      <c r="A361" s="30"/>
      <c r="B361" s="285" t="s">
        <v>25</v>
      </c>
      <c r="C361" s="300">
        <v>5</v>
      </c>
      <c r="D361" s="286">
        <v>0</v>
      </c>
      <c r="E361" s="286">
        <f>SUM(C361:D361)</f>
        <v>5</v>
      </c>
      <c r="F361" s="286">
        <f>E361*1%</f>
        <v>0.05</v>
      </c>
      <c r="G361" s="286">
        <v>0</v>
      </c>
      <c r="H361" s="286">
        <f>E361*3.5%</f>
        <v>0.17500000000000002</v>
      </c>
      <c r="I361" s="286">
        <f>E361*19%</f>
        <v>0.95</v>
      </c>
      <c r="J361" s="286">
        <f>E361*0.03%</f>
        <v>1.4999999999999998E-3</v>
      </c>
      <c r="K361" s="286">
        <f>E361*10%</f>
        <v>0.5</v>
      </c>
      <c r="L361" s="286">
        <v>0</v>
      </c>
      <c r="M361" s="286">
        <f>C361*7%</f>
        <v>0.35000000000000003</v>
      </c>
      <c r="N361" s="286">
        <f>E361*32%</f>
        <v>1.6</v>
      </c>
      <c r="O361" s="286">
        <f>E361*12%</f>
        <v>0.6</v>
      </c>
      <c r="P361" s="286">
        <f>E361*0.7%</f>
        <v>3.4999999999999996E-2</v>
      </c>
      <c r="Q361" s="286">
        <v>150</v>
      </c>
      <c r="R361" s="286">
        <f>C361/1000*150</f>
        <v>0.75</v>
      </c>
    </row>
    <row r="362" spans="1:18" ht="19.5" customHeight="1" x14ac:dyDescent="0.3">
      <c r="A362" s="30"/>
      <c r="B362" s="279" t="s">
        <v>15</v>
      </c>
      <c r="C362" s="300">
        <v>20</v>
      </c>
      <c r="D362" s="286">
        <f>C362*0.2</f>
        <v>4</v>
      </c>
      <c r="E362" s="286">
        <f>C362-D362</f>
        <v>16</v>
      </c>
      <c r="F362" s="286">
        <f>E362*1.3%</f>
        <v>0.20800000000000002</v>
      </c>
      <c r="G362" s="289">
        <f>E362*0.001</f>
        <v>1.6E-2</v>
      </c>
      <c r="H362" s="286">
        <f>E362*0.072</f>
        <v>1.1519999999999999</v>
      </c>
      <c r="I362" s="286">
        <f>E362*0.3</f>
        <v>4.8</v>
      </c>
      <c r="J362" s="286">
        <f>E362*0.06%</f>
        <v>9.5999999999999992E-3</v>
      </c>
      <c r="K362" s="286">
        <f>E362*5%</f>
        <v>0.8</v>
      </c>
      <c r="L362" s="286">
        <v>0</v>
      </c>
      <c r="M362" s="286">
        <f>E362*51%</f>
        <v>8.16</v>
      </c>
      <c r="N362" s="286">
        <f>E362*55%</f>
        <v>8.8000000000000007</v>
      </c>
      <c r="O362" s="286">
        <f>E362*38%</f>
        <v>6.08</v>
      </c>
      <c r="P362" s="286">
        <f>E362*0.7%</f>
        <v>0.11199999999999999</v>
      </c>
      <c r="Q362" s="286">
        <v>60</v>
      </c>
      <c r="R362" s="285">
        <f>C362/1000*60</f>
        <v>1.2</v>
      </c>
    </row>
    <row r="363" spans="1:18" ht="23.25" customHeight="1" x14ac:dyDescent="0.3">
      <c r="A363" s="30"/>
      <c r="B363" s="279" t="s">
        <v>16</v>
      </c>
      <c r="C363" s="300">
        <v>50</v>
      </c>
      <c r="D363" s="286">
        <f>C363*0.2</f>
        <v>10</v>
      </c>
      <c r="E363" s="286">
        <f>C363-D363</f>
        <v>40</v>
      </c>
      <c r="F363" s="286">
        <f>E363*0.018</f>
        <v>0.72</v>
      </c>
      <c r="G363" s="289">
        <f>E363*0.001</f>
        <v>0.04</v>
      </c>
      <c r="H363" s="286">
        <f>E363*0.047</f>
        <v>1.88</v>
      </c>
      <c r="I363" s="286">
        <f>E363*0.27</f>
        <v>10.8</v>
      </c>
      <c r="J363" s="286">
        <f>E363*0.03%</f>
        <v>1.1999999999999999E-2</v>
      </c>
      <c r="K363" s="286">
        <f>E363*45%</f>
        <v>18</v>
      </c>
      <c r="L363" s="286">
        <v>0</v>
      </c>
      <c r="M363" s="286">
        <f>E363*48%</f>
        <v>19.2</v>
      </c>
      <c r="N363" s="286">
        <f>E363*31%</f>
        <v>12.4</v>
      </c>
      <c r="O363" s="286">
        <f>E363*16%</f>
        <v>6.4</v>
      </c>
      <c r="P363" s="286">
        <f>E363*0.6%</f>
        <v>0.24</v>
      </c>
      <c r="Q363" s="286">
        <v>30</v>
      </c>
      <c r="R363" s="285">
        <f>C363/1000*30</f>
        <v>1.5</v>
      </c>
    </row>
    <row r="364" spans="1:18" ht="18.75" x14ac:dyDescent="0.3">
      <c r="A364" s="22"/>
      <c r="B364" s="279" t="s">
        <v>70</v>
      </c>
      <c r="C364" s="300">
        <v>50</v>
      </c>
      <c r="D364" s="286">
        <f>C364*0.2</f>
        <v>10</v>
      </c>
      <c r="E364" s="286">
        <f>C364-D364</f>
        <v>40</v>
      </c>
      <c r="F364" s="286">
        <f>E364*0.015</f>
        <v>0.6</v>
      </c>
      <c r="G364" s="286">
        <f>E364*0.001</f>
        <v>0.04</v>
      </c>
      <c r="H364" s="286">
        <f>E364*0.091</f>
        <v>3.6399999999999997</v>
      </c>
      <c r="I364" s="286">
        <f>E364*0.42</f>
        <v>16.8</v>
      </c>
      <c r="J364" s="286">
        <f>E364*0.02%</f>
        <v>8.0000000000000002E-3</v>
      </c>
      <c r="K364" s="286">
        <f>E364*10%</f>
        <v>4</v>
      </c>
      <c r="L364" s="286">
        <v>0</v>
      </c>
      <c r="M364" s="286">
        <f>E364*37%</f>
        <v>14.8</v>
      </c>
      <c r="N364" s="286">
        <f>E364*43%</f>
        <v>17.2</v>
      </c>
      <c r="O364" s="286">
        <f>E364*22%</f>
        <v>8.8000000000000007</v>
      </c>
      <c r="P364" s="286">
        <f>E364*1.4%</f>
        <v>0.55999999999999994</v>
      </c>
      <c r="Q364" s="286">
        <v>60</v>
      </c>
      <c r="R364" s="286">
        <f>C364/1000*60</f>
        <v>3</v>
      </c>
    </row>
    <row r="365" spans="1:18" ht="18.75" x14ac:dyDescent="0.3">
      <c r="A365" s="30"/>
      <c r="B365" s="279" t="s">
        <v>17</v>
      </c>
      <c r="C365" s="300">
        <v>5</v>
      </c>
      <c r="D365" s="286">
        <v>0</v>
      </c>
      <c r="E365" s="286">
        <f>C365-D365</f>
        <v>5</v>
      </c>
      <c r="F365" s="286">
        <v>0</v>
      </c>
      <c r="G365" s="289">
        <f>E365*0.999</f>
        <v>4.9950000000000001</v>
      </c>
      <c r="H365" s="286">
        <v>0</v>
      </c>
      <c r="I365" s="286">
        <f>E365*8.99</f>
        <v>44.95</v>
      </c>
      <c r="J365" s="286">
        <f>E365*0.06%</f>
        <v>2.9999999999999996E-3</v>
      </c>
      <c r="K365" s="286">
        <v>0</v>
      </c>
      <c r="L365" s="286">
        <v>0</v>
      </c>
      <c r="M365" s="286">
        <v>0</v>
      </c>
      <c r="N365" s="286">
        <v>0</v>
      </c>
      <c r="O365" s="286">
        <v>0</v>
      </c>
      <c r="P365" s="286">
        <v>0</v>
      </c>
      <c r="Q365" s="286">
        <v>150</v>
      </c>
      <c r="R365" s="286">
        <f>C365/1000*150</f>
        <v>0.75</v>
      </c>
    </row>
    <row r="366" spans="1:18" ht="18.75" x14ac:dyDescent="0.3">
      <c r="A366" s="30"/>
      <c r="B366" s="285" t="s">
        <v>71</v>
      </c>
      <c r="C366" s="300">
        <v>30</v>
      </c>
      <c r="D366" s="286">
        <f>C366*20%</f>
        <v>6</v>
      </c>
      <c r="E366" s="286">
        <f>C366-D366</f>
        <v>24</v>
      </c>
      <c r="F366" s="286">
        <f>E366*2%</f>
        <v>0.48</v>
      </c>
      <c r="G366" s="286">
        <f>E366*0.4%</f>
        <v>9.6000000000000002E-2</v>
      </c>
      <c r="H366" s="286">
        <f>E366*16.3%</f>
        <v>3.9119999999999999</v>
      </c>
      <c r="I366" s="286">
        <f>E366*80%</f>
        <v>19.200000000000003</v>
      </c>
      <c r="J366" s="286">
        <f>E366*0.12%</f>
        <v>2.8799999999999999E-2</v>
      </c>
      <c r="K366" s="286">
        <f>E366*20%</f>
        <v>4.8000000000000007</v>
      </c>
      <c r="L366" s="286">
        <v>0</v>
      </c>
      <c r="M366" s="286">
        <f>E366*10%</f>
        <v>2.4000000000000004</v>
      </c>
      <c r="N366" s="286">
        <f>E366*58%</f>
        <v>13.919999999999998</v>
      </c>
      <c r="O366" s="286">
        <f>E366*23%</f>
        <v>5.5200000000000005</v>
      </c>
      <c r="P366" s="286">
        <f>E366*0.9%</f>
        <v>0.21600000000000003</v>
      </c>
      <c r="Q366" s="286">
        <v>57</v>
      </c>
      <c r="R366" s="286">
        <f>C366/1000*57</f>
        <v>1.71</v>
      </c>
    </row>
    <row r="367" spans="1:18" ht="18.75" x14ac:dyDescent="0.3">
      <c r="A367" s="30"/>
      <c r="B367" s="22" t="s">
        <v>68</v>
      </c>
      <c r="C367" s="84">
        <f>C366+C365+C364+C363+C362+C361</f>
        <v>160</v>
      </c>
      <c r="D367" s="4">
        <f>SUM(D364:D366)</f>
        <v>16</v>
      </c>
      <c r="E367" s="4">
        <v>250</v>
      </c>
      <c r="F367" s="4">
        <f t="shared" ref="F367:P367" si="49">SUM(F364:F366)</f>
        <v>1.08</v>
      </c>
      <c r="G367" s="4">
        <f t="shared" si="49"/>
        <v>5.1310000000000002</v>
      </c>
      <c r="H367" s="4">
        <f t="shared" si="49"/>
        <v>7.5519999999999996</v>
      </c>
      <c r="I367" s="4">
        <f t="shared" si="49"/>
        <v>80.95</v>
      </c>
      <c r="J367" s="4">
        <f t="shared" si="49"/>
        <v>3.9800000000000002E-2</v>
      </c>
      <c r="K367" s="4">
        <f t="shared" si="49"/>
        <v>8.8000000000000007</v>
      </c>
      <c r="L367" s="4">
        <f t="shared" si="49"/>
        <v>0</v>
      </c>
      <c r="M367" s="4">
        <f t="shared" si="49"/>
        <v>17.200000000000003</v>
      </c>
      <c r="N367" s="4">
        <f t="shared" si="49"/>
        <v>31.119999999999997</v>
      </c>
      <c r="O367" s="4">
        <f t="shared" si="49"/>
        <v>14.32</v>
      </c>
      <c r="P367" s="4">
        <f t="shared" si="49"/>
        <v>0.77600000000000002</v>
      </c>
      <c r="Q367" s="4"/>
      <c r="R367" s="4">
        <f>SUM(R360:R366)</f>
        <v>9.7100000000000009</v>
      </c>
    </row>
    <row r="368" spans="1:18" ht="18.75" x14ac:dyDescent="0.3">
      <c r="A368" s="30"/>
      <c r="B368" s="152" t="s">
        <v>104</v>
      </c>
      <c r="C368" s="153"/>
      <c r="D368" s="154"/>
      <c r="E368" s="154"/>
      <c r="F368" s="154"/>
      <c r="G368" s="154"/>
      <c r="H368" s="154"/>
      <c r="I368" s="154"/>
      <c r="J368" s="154"/>
      <c r="K368" s="154"/>
      <c r="L368" s="154"/>
      <c r="M368" s="154"/>
      <c r="N368" s="154"/>
      <c r="O368" s="154"/>
      <c r="P368" s="154"/>
      <c r="Q368" s="154"/>
      <c r="R368" s="155"/>
    </row>
    <row r="369" spans="1:18" ht="18.75" x14ac:dyDescent="0.3">
      <c r="A369" s="30"/>
      <c r="B369" s="27" t="s">
        <v>68</v>
      </c>
      <c r="C369" s="4">
        <v>50</v>
      </c>
      <c r="D369" s="4">
        <v>0</v>
      </c>
      <c r="E369" s="4">
        <v>50</v>
      </c>
      <c r="F369" s="4">
        <f>E369*7.9%</f>
        <v>3.95</v>
      </c>
      <c r="G369" s="4">
        <f>E369*1%</f>
        <v>0.5</v>
      </c>
      <c r="H369" s="4">
        <f>E369*48.1%</f>
        <v>24.05</v>
      </c>
      <c r="I369" s="4">
        <f>E369*239%</f>
        <v>119.5</v>
      </c>
      <c r="J369" s="4">
        <f>E369*0.16%</f>
        <v>0.08</v>
      </c>
      <c r="K369" s="4">
        <v>0</v>
      </c>
      <c r="L369" s="4">
        <v>0</v>
      </c>
      <c r="M369" s="4">
        <f>E369*23%</f>
        <v>11.5</v>
      </c>
      <c r="N369" s="4">
        <f>E369*87%</f>
        <v>43.5</v>
      </c>
      <c r="O369" s="4">
        <f>E369*33%</f>
        <v>16.5</v>
      </c>
      <c r="P369" s="4">
        <f>E369*2%</f>
        <v>1</v>
      </c>
      <c r="Q369" s="4">
        <v>50</v>
      </c>
      <c r="R369" s="4">
        <f>C369/1000*50</f>
        <v>2.5</v>
      </c>
    </row>
    <row r="370" spans="1:18" ht="18.75" x14ac:dyDescent="0.3">
      <c r="A370" s="30"/>
      <c r="B370" s="136" t="s">
        <v>110</v>
      </c>
      <c r="C370" s="137"/>
      <c r="D370" s="137"/>
      <c r="E370" s="137"/>
      <c r="F370" s="137"/>
      <c r="G370" s="137"/>
      <c r="H370" s="137"/>
      <c r="I370" s="137"/>
      <c r="J370" s="137"/>
      <c r="K370" s="137"/>
      <c r="L370" s="137"/>
      <c r="M370" s="137"/>
      <c r="N370" s="137"/>
      <c r="O370" s="137"/>
      <c r="P370" s="137"/>
      <c r="Q370" s="137"/>
      <c r="R370" s="138"/>
    </row>
    <row r="371" spans="1:18" ht="18.75" x14ac:dyDescent="0.3">
      <c r="A371" s="30"/>
      <c r="B371" s="284" t="s">
        <v>66</v>
      </c>
      <c r="C371" s="284">
        <v>15</v>
      </c>
      <c r="D371" s="284">
        <v>0</v>
      </c>
      <c r="E371" s="284">
        <v>15</v>
      </c>
      <c r="F371" s="284">
        <f>E371*5.2%</f>
        <v>0.78</v>
      </c>
      <c r="G371" s="284">
        <v>0</v>
      </c>
      <c r="H371" s="284">
        <f>E371*55%</f>
        <v>8.25</v>
      </c>
      <c r="I371" s="284">
        <f>E371*234%</f>
        <v>35.099999999999994</v>
      </c>
      <c r="J371" s="284">
        <f>E371*0.1%</f>
        <v>1.4999999999999999E-2</v>
      </c>
      <c r="K371" s="284">
        <f>E371*4%</f>
        <v>0.6</v>
      </c>
      <c r="L371" s="284">
        <v>0</v>
      </c>
      <c r="M371" s="284">
        <f>E371*160%</f>
        <v>24</v>
      </c>
      <c r="N371" s="284">
        <f>E371*146%</f>
        <v>21.9</v>
      </c>
      <c r="O371" s="284">
        <f>E371*105%</f>
        <v>15.75</v>
      </c>
      <c r="P371" s="284">
        <f>E371*3.2%</f>
        <v>0.48</v>
      </c>
      <c r="Q371" s="284">
        <v>350</v>
      </c>
      <c r="R371" s="284">
        <f>C371/1000*350</f>
        <v>5.25</v>
      </c>
    </row>
    <row r="372" spans="1:18" ht="18.75" x14ac:dyDescent="0.3">
      <c r="A372" s="30"/>
      <c r="B372" s="284" t="s">
        <v>67</v>
      </c>
      <c r="C372" s="284">
        <v>10</v>
      </c>
      <c r="D372" s="284">
        <v>0</v>
      </c>
      <c r="E372" s="284">
        <v>10</v>
      </c>
      <c r="F372" s="284">
        <v>0</v>
      </c>
      <c r="G372" s="284">
        <v>0</v>
      </c>
      <c r="H372" s="284">
        <f>E372*99.8%</f>
        <v>9.98</v>
      </c>
      <c r="I372" s="284">
        <f>E372*379%</f>
        <v>37.9</v>
      </c>
      <c r="J372" s="284">
        <v>0</v>
      </c>
      <c r="K372" s="284">
        <v>0</v>
      </c>
      <c r="L372" s="284">
        <v>0</v>
      </c>
      <c r="M372" s="284">
        <f>E372*2%</f>
        <v>0.2</v>
      </c>
      <c r="N372" s="284">
        <v>0</v>
      </c>
      <c r="O372" s="284">
        <v>0</v>
      </c>
      <c r="P372" s="284">
        <f>E372*0.3%</f>
        <v>0.03</v>
      </c>
      <c r="Q372" s="284">
        <v>60</v>
      </c>
      <c r="R372" s="284">
        <f>C372/1000*60</f>
        <v>0.6</v>
      </c>
    </row>
    <row r="373" spans="1:18" ht="18.75" x14ac:dyDescent="0.3">
      <c r="A373" s="30"/>
      <c r="B373" s="27" t="s">
        <v>68</v>
      </c>
      <c r="C373" s="4">
        <v>25</v>
      </c>
      <c r="D373" s="4">
        <f t="shared" ref="D373:P373" si="50">SUM(D371:D372)</f>
        <v>0</v>
      </c>
      <c r="E373" s="4">
        <v>150</v>
      </c>
      <c r="F373" s="4">
        <f t="shared" si="50"/>
        <v>0.78</v>
      </c>
      <c r="G373" s="4">
        <f t="shared" si="50"/>
        <v>0</v>
      </c>
      <c r="H373" s="4">
        <f t="shared" si="50"/>
        <v>18.23</v>
      </c>
      <c r="I373" s="4">
        <f t="shared" si="50"/>
        <v>73</v>
      </c>
      <c r="J373" s="4">
        <f t="shared" si="50"/>
        <v>1.4999999999999999E-2</v>
      </c>
      <c r="K373" s="4">
        <f t="shared" si="50"/>
        <v>0.6</v>
      </c>
      <c r="L373" s="4">
        <f t="shared" si="50"/>
        <v>0</v>
      </c>
      <c r="M373" s="4">
        <f t="shared" si="50"/>
        <v>24.2</v>
      </c>
      <c r="N373" s="4">
        <f t="shared" si="50"/>
        <v>21.9</v>
      </c>
      <c r="O373" s="4">
        <f t="shared" si="50"/>
        <v>15.75</v>
      </c>
      <c r="P373" s="4">
        <f t="shared" si="50"/>
        <v>0.51</v>
      </c>
      <c r="Q373" s="4"/>
      <c r="R373" s="4">
        <f>SUM(R371:R372)</f>
        <v>5.85</v>
      </c>
    </row>
    <row r="374" spans="1:18" ht="18.75" x14ac:dyDescent="0.3">
      <c r="A374" s="30"/>
      <c r="B374" s="136" t="s">
        <v>113</v>
      </c>
      <c r="C374" s="137"/>
      <c r="D374" s="137"/>
      <c r="E374" s="137"/>
      <c r="F374" s="137"/>
      <c r="G374" s="137"/>
      <c r="H374" s="137"/>
      <c r="I374" s="137"/>
      <c r="J374" s="137"/>
      <c r="K374" s="137"/>
      <c r="L374" s="137"/>
      <c r="M374" s="137"/>
      <c r="N374" s="137"/>
      <c r="O374" s="137"/>
      <c r="P374" s="137"/>
      <c r="Q374" s="137"/>
      <c r="R374" s="138"/>
    </row>
    <row r="375" spans="1:18" ht="18.75" x14ac:dyDescent="0.3">
      <c r="A375" s="30"/>
      <c r="B375" s="27" t="s">
        <v>68</v>
      </c>
      <c r="C375" s="4">
        <v>100</v>
      </c>
      <c r="D375" s="4">
        <v>0</v>
      </c>
      <c r="E375" s="4">
        <f>C375-D375</f>
        <v>100</v>
      </c>
      <c r="F375" s="4">
        <f>E375*0.4%</f>
        <v>0.4</v>
      </c>
      <c r="G375" s="4">
        <f>E375*0.4%</f>
        <v>0.4</v>
      </c>
      <c r="H375" s="4">
        <f>E375*9.8%</f>
        <v>9.8000000000000007</v>
      </c>
      <c r="I375" s="4">
        <f>E375*45%</f>
        <v>45</v>
      </c>
      <c r="J375" s="4">
        <f>E375*0.03%</f>
        <v>0.03</v>
      </c>
      <c r="K375" s="4">
        <f>E375*13%</f>
        <v>13</v>
      </c>
      <c r="L375" s="4">
        <v>0</v>
      </c>
      <c r="M375" s="4">
        <f>E375*16%</f>
        <v>16</v>
      </c>
      <c r="N375" s="4">
        <f>E375*11%</f>
        <v>11</v>
      </c>
      <c r="O375" s="4">
        <f>E375*9%</f>
        <v>9</v>
      </c>
      <c r="P375" s="4">
        <f>E375*2.2%</f>
        <v>2.2000000000000002</v>
      </c>
      <c r="Q375" s="4">
        <v>100</v>
      </c>
      <c r="R375" s="4">
        <f>C375/1000*100</f>
        <v>10</v>
      </c>
    </row>
    <row r="376" spans="1:18" ht="27" customHeight="1" x14ac:dyDescent="0.3">
      <c r="A376" s="33"/>
      <c r="B376" s="122" t="s">
        <v>106</v>
      </c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7"/>
    </row>
    <row r="377" spans="1:18" ht="19.5" customHeight="1" x14ac:dyDescent="0.3">
      <c r="A377" s="33"/>
      <c r="B377" s="27" t="s">
        <v>68</v>
      </c>
      <c r="C377" s="23">
        <v>3</v>
      </c>
      <c r="D377" s="4">
        <v>0</v>
      </c>
      <c r="E377" s="23">
        <f>C377-D377</f>
        <v>3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20</v>
      </c>
      <c r="R377" s="23">
        <f>C377/1000*20</f>
        <v>0.06</v>
      </c>
    </row>
    <row r="378" spans="1:18" ht="38.25" customHeight="1" x14ac:dyDescent="0.35">
      <c r="A378" s="33"/>
      <c r="B378" s="21" t="s">
        <v>68</v>
      </c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>
        <f>R377+R375+R373+R369+R367+R358</f>
        <v>61</v>
      </c>
    </row>
    <row r="379" spans="1:18" ht="30" customHeight="1" x14ac:dyDescent="0.35">
      <c r="A379" s="35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1:18" ht="30" customHeight="1" x14ac:dyDescent="0.35">
      <c r="A380" s="35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</row>
    <row r="381" spans="1:18" ht="23.25" x14ac:dyDescent="0.35">
      <c r="A381" s="35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</row>
    <row r="382" spans="1:18" ht="23.25" x14ac:dyDescent="0.35">
      <c r="A382" s="35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</row>
    <row r="383" spans="1:18" ht="18.75" x14ac:dyDescent="0.3">
      <c r="A383" s="34"/>
    </row>
    <row r="384" spans="1:18" ht="18.75" x14ac:dyDescent="0.3">
      <c r="A384" s="33"/>
      <c r="B384" s="142" t="s">
        <v>0</v>
      </c>
      <c r="C384" s="149" t="s">
        <v>18</v>
      </c>
      <c r="D384" s="146" t="s">
        <v>20</v>
      </c>
      <c r="E384" s="146" t="s">
        <v>19</v>
      </c>
      <c r="F384" s="128" t="s">
        <v>1</v>
      </c>
      <c r="G384" s="128" t="s">
        <v>2</v>
      </c>
      <c r="H384" s="128" t="s">
        <v>3</v>
      </c>
      <c r="I384" s="128" t="s">
        <v>4</v>
      </c>
      <c r="J384" s="143" t="s">
        <v>5</v>
      </c>
      <c r="K384" s="143"/>
      <c r="L384" s="143"/>
      <c r="M384" s="143" t="s">
        <v>6</v>
      </c>
      <c r="N384" s="143"/>
      <c r="O384" s="143"/>
      <c r="P384" s="143"/>
      <c r="Q384" s="139" t="s">
        <v>65</v>
      </c>
      <c r="R384" s="252" t="s">
        <v>115</v>
      </c>
    </row>
    <row r="385" spans="1:18" ht="18.75" x14ac:dyDescent="0.3">
      <c r="A385" s="33"/>
      <c r="B385" s="142"/>
      <c r="C385" s="150"/>
      <c r="D385" s="147"/>
      <c r="E385" s="147"/>
      <c r="F385" s="129"/>
      <c r="G385" s="129"/>
      <c r="H385" s="129"/>
      <c r="I385" s="129"/>
      <c r="J385" s="128" t="s">
        <v>7</v>
      </c>
      <c r="K385" s="144" t="s">
        <v>8</v>
      </c>
      <c r="L385" s="128" t="s">
        <v>9</v>
      </c>
      <c r="M385" s="128" t="s">
        <v>10</v>
      </c>
      <c r="N385" s="128" t="s">
        <v>11</v>
      </c>
      <c r="O385" s="128" t="s">
        <v>12</v>
      </c>
      <c r="P385" s="128" t="s">
        <v>13</v>
      </c>
      <c r="Q385" s="129"/>
      <c r="R385" s="253"/>
    </row>
    <row r="386" spans="1:18" ht="20.25" x14ac:dyDescent="0.3">
      <c r="A386" s="33"/>
      <c r="B386" s="1" t="s">
        <v>107</v>
      </c>
      <c r="C386" s="151"/>
      <c r="D386" s="148"/>
      <c r="E386" s="148"/>
      <c r="F386" s="130"/>
      <c r="G386" s="130"/>
      <c r="H386" s="130"/>
      <c r="I386" s="130"/>
      <c r="J386" s="130"/>
      <c r="K386" s="145"/>
      <c r="L386" s="130"/>
      <c r="M386" s="130"/>
      <c r="N386" s="130"/>
      <c r="O386" s="130"/>
      <c r="P386" s="130"/>
      <c r="Q386" s="130"/>
      <c r="R386" s="254"/>
    </row>
    <row r="387" spans="1:18" ht="21" x14ac:dyDescent="0.35">
      <c r="A387" s="22"/>
      <c r="B387" s="119" t="s">
        <v>129</v>
      </c>
      <c r="C387" s="154"/>
      <c r="D387" s="154"/>
      <c r="E387" s="154"/>
      <c r="F387" s="154"/>
      <c r="G387" s="154"/>
      <c r="H387" s="154"/>
      <c r="I387" s="154"/>
      <c r="J387" s="154"/>
      <c r="K387" s="154"/>
      <c r="L387" s="154"/>
      <c r="M387" s="154"/>
      <c r="N387" s="154"/>
      <c r="O387" s="154"/>
      <c r="P387" s="154"/>
      <c r="Q387" s="154"/>
      <c r="R387" s="155"/>
    </row>
    <row r="388" spans="1:18" ht="18.75" x14ac:dyDescent="0.3">
      <c r="A388" s="22"/>
      <c r="B388" s="283" t="s">
        <v>21</v>
      </c>
      <c r="C388" s="284">
        <v>45</v>
      </c>
      <c r="D388" s="284">
        <v>0</v>
      </c>
      <c r="E388" s="284">
        <f>C388-D388</f>
        <v>45</v>
      </c>
      <c r="F388" s="284">
        <f>E388*12.6%</f>
        <v>5.67</v>
      </c>
      <c r="G388" s="284">
        <f>E388*3.3%</f>
        <v>1.4850000000000001</v>
      </c>
      <c r="H388" s="284">
        <f>E388*62.1%</f>
        <v>27.945</v>
      </c>
      <c r="I388" s="284">
        <f>E388*335%</f>
        <v>150.75</v>
      </c>
      <c r="J388" s="284">
        <f>E388*0.43%</f>
        <v>0.19350000000000001</v>
      </c>
      <c r="K388" s="284">
        <v>0</v>
      </c>
      <c r="L388" s="284">
        <v>0</v>
      </c>
      <c r="M388" s="284">
        <f>E388*20%</f>
        <v>9</v>
      </c>
      <c r="N388" s="284">
        <f>E388*298%</f>
        <v>134.1</v>
      </c>
      <c r="O388" s="284">
        <f>E388*200%</f>
        <v>90</v>
      </c>
      <c r="P388" s="284">
        <f>E388*6.7%</f>
        <v>3.0150000000000001</v>
      </c>
      <c r="Q388" s="284">
        <v>85</v>
      </c>
      <c r="R388" s="4">
        <f>C388/1000*85</f>
        <v>3.8249999999999997</v>
      </c>
    </row>
    <row r="389" spans="1:18" ht="18.75" x14ac:dyDescent="0.3">
      <c r="A389" s="22"/>
      <c r="B389" s="283" t="s">
        <v>22</v>
      </c>
      <c r="C389" s="284">
        <v>10</v>
      </c>
      <c r="D389" s="284">
        <v>0</v>
      </c>
      <c r="E389" s="284">
        <f>C389-D389</f>
        <v>10</v>
      </c>
      <c r="F389" s="284">
        <f>E389*0.5%</f>
        <v>0.05</v>
      </c>
      <c r="G389" s="284">
        <f>E389*82.5%</f>
        <v>8.25</v>
      </c>
      <c r="H389" s="284">
        <f>E389*0.8%</f>
        <v>0.08</v>
      </c>
      <c r="I389" s="284">
        <f>E389*748%</f>
        <v>74.800000000000011</v>
      </c>
      <c r="J389" s="284">
        <v>0</v>
      </c>
      <c r="K389" s="284">
        <v>0</v>
      </c>
      <c r="L389" s="284">
        <f>E389*0.59%</f>
        <v>5.8999999999999997E-2</v>
      </c>
      <c r="M389" s="284">
        <f>E389*12%</f>
        <v>1.2</v>
      </c>
      <c r="N389" s="284">
        <f>E389*19%</f>
        <v>1.9</v>
      </c>
      <c r="O389" s="284">
        <f>E389*0.4%</f>
        <v>0.04</v>
      </c>
      <c r="P389" s="284">
        <f>E389*0.2%</f>
        <v>0.02</v>
      </c>
      <c r="Q389" s="284">
        <v>480</v>
      </c>
      <c r="R389" s="4">
        <f>C389/1000*480</f>
        <v>4.8</v>
      </c>
    </row>
    <row r="390" spans="1:18" ht="18.75" x14ac:dyDescent="0.3">
      <c r="A390" s="22"/>
      <c r="B390" s="22" t="s">
        <v>68</v>
      </c>
      <c r="C390" s="4">
        <f>C389+C388</f>
        <v>55</v>
      </c>
      <c r="D390" s="4">
        <v>0</v>
      </c>
      <c r="E390" s="4">
        <v>110</v>
      </c>
      <c r="F390" s="4">
        <f t="shared" ref="F390:P390" si="51">SUM(F388:F389)</f>
        <v>5.72</v>
      </c>
      <c r="G390" s="4">
        <f t="shared" si="51"/>
        <v>9.7349999999999994</v>
      </c>
      <c r="H390" s="4">
        <f t="shared" si="51"/>
        <v>28.024999999999999</v>
      </c>
      <c r="I390" s="4">
        <f t="shared" si="51"/>
        <v>225.55</v>
      </c>
      <c r="J390" s="4">
        <f t="shared" si="51"/>
        <v>0.19350000000000001</v>
      </c>
      <c r="K390" s="4">
        <f t="shared" si="51"/>
        <v>0</v>
      </c>
      <c r="L390" s="4">
        <f t="shared" si="51"/>
        <v>5.8999999999999997E-2</v>
      </c>
      <c r="M390" s="4">
        <f t="shared" si="51"/>
        <v>10.199999999999999</v>
      </c>
      <c r="N390" s="4">
        <f t="shared" si="51"/>
        <v>136</v>
      </c>
      <c r="O390" s="4">
        <f t="shared" si="51"/>
        <v>90.04</v>
      </c>
      <c r="P390" s="4">
        <f t="shared" si="51"/>
        <v>3.0350000000000001</v>
      </c>
      <c r="Q390" s="4"/>
      <c r="R390" s="4">
        <f t="shared" ref="R390" si="52">SUM(R388:R389)</f>
        <v>8.625</v>
      </c>
    </row>
    <row r="391" spans="1:18" ht="20.25" x14ac:dyDescent="0.3">
      <c r="A391" s="33"/>
      <c r="B391" s="211" t="s">
        <v>131</v>
      </c>
      <c r="C391" s="212"/>
      <c r="D391" s="212"/>
      <c r="E391" s="212"/>
      <c r="F391" s="212"/>
      <c r="G391" s="212"/>
      <c r="H391" s="212"/>
      <c r="I391" s="212"/>
      <c r="J391" s="212"/>
      <c r="K391" s="212"/>
      <c r="L391" s="212"/>
      <c r="M391" s="212"/>
      <c r="N391" s="212"/>
      <c r="O391" s="212"/>
      <c r="P391" s="212"/>
      <c r="Q391" s="212"/>
      <c r="R391" s="213"/>
    </row>
    <row r="392" spans="1:18" s="59" customFormat="1" ht="22.5" customHeight="1" x14ac:dyDescent="0.3">
      <c r="A392" s="22"/>
      <c r="B392" s="285" t="s">
        <v>122</v>
      </c>
      <c r="C392" s="286">
        <v>55</v>
      </c>
      <c r="D392" s="286">
        <f>C392*26.4%</f>
        <v>14.520000000000001</v>
      </c>
      <c r="E392" s="286">
        <f>SUM(C392-D392)</f>
        <v>40.479999999999997</v>
      </c>
      <c r="F392" s="286">
        <f>E392*18.6%</f>
        <v>7.5292800000000009</v>
      </c>
      <c r="G392" s="286">
        <f>E392*16%</f>
        <v>6.4767999999999999</v>
      </c>
      <c r="H392" s="286">
        <v>0</v>
      </c>
      <c r="I392" s="286">
        <f>E392*218%</f>
        <v>88.246399999999994</v>
      </c>
      <c r="J392" s="286">
        <f>E392*0.06%</f>
        <v>2.4287999999999997E-2</v>
      </c>
      <c r="K392" s="286">
        <v>0</v>
      </c>
      <c r="L392" s="286">
        <v>0</v>
      </c>
      <c r="M392" s="286">
        <f>E392*9%</f>
        <v>3.6431999999999998</v>
      </c>
      <c r="N392" s="286">
        <f>E392*188%</f>
        <v>76.102399999999989</v>
      </c>
      <c r="O392" s="286">
        <f>E392*22%</f>
        <v>8.9055999999999997</v>
      </c>
      <c r="P392" s="286">
        <f>E392*2.7%</f>
        <v>1.0929600000000002</v>
      </c>
      <c r="Q392" s="286">
        <v>490</v>
      </c>
      <c r="R392" s="286">
        <f>C392/1000*490</f>
        <v>26.95</v>
      </c>
    </row>
    <row r="393" spans="1:18" ht="18.75" x14ac:dyDescent="0.3">
      <c r="A393" s="22"/>
      <c r="B393" s="285" t="s">
        <v>15</v>
      </c>
      <c r="C393" s="286">
        <v>21</v>
      </c>
      <c r="D393" s="286">
        <v>5</v>
      </c>
      <c r="E393" s="286">
        <f>C393-D393</f>
        <v>16</v>
      </c>
      <c r="F393" s="286">
        <f>E393*1.3%</f>
        <v>0.20800000000000002</v>
      </c>
      <c r="G393" s="286">
        <v>0</v>
      </c>
      <c r="H393" s="286">
        <f>E393*7.2%</f>
        <v>1.1520000000000001</v>
      </c>
      <c r="I393" s="286">
        <f>E393*30%</f>
        <v>4.8</v>
      </c>
      <c r="J393" s="286">
        <f>E393*0.06%</f>
        <v>9.5999999999999992E-3</v>
      </c>
      <c r="K393" s="286">
        <f>E393*5%</f>
        <v>0.8</v>
      </c>
      <c r="L393" s="286">
        <v>0</v>
      </c>
      <c r="M393" s="286">
        <f>E393*51%</f>
        <v>8.16</v>
      </c>
      <c r="N393" s="286">
        <f>E393*55%</f>
        <v>8.8000000000000007</v>
      </c>
      <c r="O393" s="286">
        <f>E393*38%</f>
        <v>6.08</v>
      </c>
      <c r="P393" s="286">
        <f>E393*0.7%</f>
        <v>0.11199999999999999</v>
      </c>
      <c r="Q393" s="286">
        <v>60</v>
      </c>
      <c r="R393" s="286">
        <f>C393/1000*60</f>
        <v>1.26</v>
      </c>
    </row>
    <row r="394" spans="1:18" ht="18.75" x14ac:dyDescent="0.3">
      <c r="A394" s="22"/>
      <c r="B394" s="285" t="s">
        <v>72</v>
      </c>
      <c r="C394" s="286">
        <v>21</v>
      </c>
      <c r="D394" s="286">
        <f>C394*0.16</f>
        <v>3.36</v>
      </c>
      <c r="E394" s="286">
        <f>C394-D394</f>
        <v>17.64</v>
      </c>
      <c r="F394" s="286">
        <f>E394*1.4%</f>
        <v>0.24695999999999999</v>
      </c>
      <c r="G394" s="287">
        <v>0</v>
      </c>
      <c r="H394" s="286">
        <f>E394*9.1%</f>
        <v>1.60524</v>
      </c>
      <c r="I394" s="286">
        <f>E394*41%</f>
        <v>7.2324000000000002</v>
      </c>
      <c r="J394" s="286">
        <f>E394*0.05%</f>
        <v>8.8199999999999997E-3</v>
      </c>
      <c r="K394" s="286">
        <f>E394*10%</f>
        <v>1.7640000000000002</v>
      </c>
      <c r="L394" s="286">
        <v>0</v>
      </c>
      <c r="M394" s="286">
        <f>E394*31%</f>
        <v>5.4683999999999999</v>
      </c>
      <c r="N394" s="286">
        <f>E394*58%</f>
        <v>10.231199999999999</v>
      </c>
      <c r="O394" s="286">
        <f>E394*14%</f>
        <v>2.4696000000000002</v>
      </c>
      <c r="P394" s="286">
        <f>E394*0.8%</f>
        <v>0.14112</v>
      </c>
      <c r="Q394" s="286">
        <v>40</v>
      </c>
      <c r="R394" s="286">
        <f>C394/1000*40</f>
        <v>0.84000000000000008</v>
      </c>
    </row>
    <row r="395" spans="1:18" ht="18.75" x14ac:dyDescent="0.3">
      <c r="A395" s="30"/>
      <c r="B395" s="4" t="s">
        <v>80</v>
      </c>
      <c r="C395" s="4">
        <v>10</v>
      </c>
      <c r="D395" s="4">
        <v>0</v>
      </c>
      <c r="E395" s="4">
        <f>C395-D395</f>
        <v>10</v>
      </c>
      <c r="F395" s="4">
        <f>E395*7.9%</f>
        <v>0.79</v>
      </c>
      <c r="G395" s="4">
        <f>E395*1%</f>
        <v>0.1</v>
      </c>
      <c r="H395" s="4">
        <f>E395*48.1%</f>
        <v>4.8100000000000005</v>
      </c>
      <c r="I395" s="4">
        <f>E395*239%</f>
        <v>23.900000000000002</v>
      </c>
      <c r="J395" s="4">
        <f>E395*0.16%</f>
        <v>1.6E-2</v>
      </c>
      <c r="K395" s="4">
        <v>0</v>
      </c>
      <c r="L395" s="4">
        <v>0</v>
      </c>
      <c r="M395" s="4">
        <f>E395*23%</f>
        <v>2.3000000000000003</v>
      </c>
      <c r="N395" s="4">
        <f>E395*87%</f>
        <v>8.6999999999999993</v>
      </c>
      <c r="O395" s="4">
        <f>E395*33%</f>
        <v>3.3000000000000003</v>
      </c>
      <c r="P395" s="4">
        <f>E395*2%</f>
        <v>0.2</v>
      </c>
      <c r="Q395" s="4">
        <v>30</v>
      </c>
      <c r="R395" s="4">
        <f>C395/1000*30</f>
        <v>0.3</v>
      </c>
    </row>
    <row r="396" spans="1:18" x14ac:dyDescent="0.25">
      <c r="A396" s="57"/>
      <c r="B396" s="288" t="s">
        <v>25</v>
      </c>
      <c r="C396" s="288">
        <v>3</v>
      </c>
      <c r="D396" s="288">
        <v>0</v>
      </c>
      <c r="E396" s="288">
        <f>SUM(C396:D396)</f>
        <v>3</v>
      </c>
      <c r="F396" s="288">
        <f>E396*1%</f>
        <v>0.03</v>
      </c>
      <c r="G396" s="288">
        <v>0</v>
      </c>
      <c r="H396" s="288">
        <f>E396*3.5%</f>
        <v>0.10500000000000001</v>
      </c>
      <c r="I396" s="288">
        <f>E396*19%</f>
        <v>0.57000000000000006</v>
      </c>
      <c r="J396" s="288">
        <f>E396*0.03%</f>
        <v>8.9999999999999998E-4</v>
      </c>
      <c r="K396" s="288">
        <f>E396*10%</f>
        <v>0.30000000000000004</v>
      </c>
      <c r="L396" s="288">
        <v>0</v>
      </c>
      <c r="M396" s="288">
        <f>C396*7%</f>
        <v>0.21000000000000002</v>
      </c>
      <c r="N396" s="288">
        <f>E396*32%</f>
        <v>0.96</v>
      </c>
      <c r="O396" s="288">
        <f>E396*12%</f>
        <v>0.36</v>
      </c>
      <c r="P396" s="288">
        <f>E396*0.7%</f>
        <v>2.0999999999999998E-2</v>
      </c>
      <c r="Q396" s="288">
        <v>150</v>
      </c>
      <c r="R396" s="288">
        <f>C396/1000*150</f>
        <v>0.45</v>
      </c>
    </row>
    <row r="397" spans="1:18" ht="18.75" x14ac:dyDescent="0.3">
      <c r="A397" s="22"/>
      <c r="B397" s="285" t="s">
        <v>24</v>
      </c>
      <c r="C397" s="286">
        <v>5</v>
      </c>
      <c r="D397" s="286">
        <v>0</v>
      </c>
      <c r="E397" s="286">
        <f>SUM(C397:D397)</f>
        <v>5</v>
      </c>
      <c r="F397" s="286">
        <v>0</v>
      </c>
      <c r="G397" s="289">
        <f>E397*0.999</f>
        <v>4.9950000000000001</v>
      </c>
      <c r="H397" s="286">
        <v>0</v>
      </c>
      <c r="I397" s="286">
        <f>E397*8.99%</f>
        <v>0.44950000000000001</v>
      </c>
      <c r="J397" s="286">
        <f>E397*0.06%</f>
        <v>2.9999999999999996E-3</v>
      </c>
      <c r="K397" s="286">
        <v>0</v>
      </c>
      <c r="L397" s="286">
        <v>0</v>
      </c>
      <c r="M397" s="286">
        <v>0</v>
      </c>
      <c r="N397" s="286">
        <v>0</v>
      </c>
      <c r="O397" s="286">
        <v>0</v>
      </c>
      <c r="P397" s="286">
        <v>0</v>
      </c>
      <c r="Q397" s="286">
        <v>150</v>
      </c>
      <c r="R397" s="286">
        <f>C397/1000*150</f>
        <v>0.75</v>
      </c>
    </row>
    <row r="398" spans="1:18" s="68" customFormat="1" ht="18.75" x14ac:dyDescent="0.25">
      <c r="A398" s="65"/>
      <c r="B398" s="56" t="s">
        <v>68</v>
      </c>
      <c r="C398" s="66">
        <f t="shared" ref="C398:P398" si="53">SUM(C392:C397)</f>
        <v>115</v>
      </c>
      <c r="D398" s="66">
        <f t="shared" si="53"/>
        <v>22.880000000000003</v>
      </c>
      <c r="E398" s="66">
        <f t="shared" si="53"/>
        <v>92.12</v>
      </c>
      <c r="F398" s="66">
        <f t="shared" si="53"/>
        <v>8.8042400000000001</v>
      </c>
      <c r="G398" s="66">
        <f t="shared" si="53"/>
        <v>11.5718</v>
      </c>
      <c r="H398" s="66">
        <f t="shared" si="53"/>
        <v>7.6722400000000013</v>
      </c>
      <c r="I398" s="66">
        <f t="shared" si="53"/>
        <v>125.19829999999999</v>
      </c>
      <c r="J398" s="66">
        <f t="shared" si="53"/>
        <v>6.2607999999999997E-2</v>
      </c>
      <c r="K398" s="66">
        <f t="shared" si="53"/>
        <v>2.8639999999999999</v>
      </c>
      <c r="L398" s="66">
        <f t="shared" si="53"/>
        <v>0</v>
      </c>
      <c r="M398" s="66">
        <f t="shared" si="53"/>
        <v>19.781600000000001</v>
      </c>
      <c r="N398" s="66">
        <f t="shared" si="53"/>
        <v>104.79359999999998</v>
      </c>
      <c r="O398" s="66">
        <f t="shared" si="53"/>
        <v>21.115200000000002</v>
      </c>
      <c r="P398" s="66">
        <f t="shared" si="53"/>
        <v>1.56708</v>
      </c>
      <c r="Q398" s="66"/>
      <c r="R398" s="66">
        <f t="shared" ref="R398" si="54">SUM(R392:R397)</f>
        <v>30.55</v>
      </c>
    </row>
    <row r="399" spans="1:18" ht="21" x14ac:dyDescent="0.35">
      <c r="A399" s="33"/>
      <c r="B399" s="160" t="s">
        <v>104</v>
      </c>
      <c r="C399" s="137"/>
      <c r="D399" s="137"/>
      <c r="E399" s="137"/>
      <c r="F399" s="137"/>
      <c r="G399" s="137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8"/>
    </row>
    <row r="400" spans="1:18" ht="18.75" x14ac:dyDescent="0.3">
      <c r="A400" s="33"/>
      <c r="B400" s="27" t="s">
        <v>68</v>
      </c>
      <c r="C400" s="4">
        <v>30</v>
      </c>
      <c r="D400" s="4">
        <v>0</v>
      </c>
      <c r="E400" s="4">
        <v>30</v>
      </c>
      <c r="F400" s="4">
        <f>E400*7.9%</f>
        <v>2.37</v>
      </c>
      <c r="G400" s="4">
        <f>E400*1%</f>
        <v>0.3</v>
      </c>
      <c r="H400" s="4">
        <f>E400*48.1%</f>
        <v>14.430000000000001</v>
      </c>
      <c r="I400" s="4">
        <f>E400*239%</f>
        <v>71.7</v>
      </c>
      <c r="J400" s="4">
        <f>E400*0.16%</f>
        <v>4.8000000000000001E-2</v>
      </c>
      <c r="K400" s="4">
        <v>0</v>
      </c>
      <c r="L400" s="4">
        <v>0</v>
      </c>
      <c r="M400" s="4">
        <f>E400*23%</f>
        <v>6.9</v>
      </c>
      <c r="N400" s="4">
        <f>E400*87%</f>
        <v>26.1</v>
      </c>
      <c r="O400" s="4">
        <f>E400*33%</f>
        <v>9.9</v>
      </c>
      <c r="P400" s="4">
        <f>E400*2%</f>
        <v>0.6</v>
      </c>
      <c r="Q400" s="4">
        <v>50</v>
      </c>
      <c r="R400" s="4">
        <f>C400/1000*50</f>
        <v>1.5</v>
      </c>
    </row>
    <row r="401" spans="1:18" ht="21" x14ac:dyDescent="0.35">
      <c r="A401" s="33"/>
      <c r="B401" s="160" t="s">
        <v>110</v>
      </c>
      <c r="C401" s="137"/>
      <c r="D401" s="137"/>
      <c r="E401" s="137"/>
      <c r="F401" s="137"/>
      <c r="G401" s="137"/>
      <c r="H401" s="137"/>
      <c r="I401" s="137"/>
      <c r="J401" s="137"/>
      <c r="K401" s="137"/>
      <c r="L401" s="137"/>
      <c r="M401" s="137"/>
      <c r="N401" s="137"/>
      <c r="O401" s="137"/>
      <c r="P401" s="137"/>
      <c r="Q401" s="137"/>
      <c r="R401" s="138"/>
    </row>
    <row r="402" spans="1:18" ht="18.75" x14ac:dyDescent="0.3">
      <c r="A402" s="33"/>
      <c r="B402" s="284" t="s">
        <v>66</v>
      </c>
      <c r="C402" s="284">
        <v>15</v>
      </c>
      <c r="D402" s="284">
        <v>0</v>
      </c>
      <c r="E402" s="284">
        <v>15</v>
      </c>
      <c r="F402" s="284">
        <f>E402*5.2%</f>
        <v>0.78</v>
      </c>
      <c r="G402" s="284">
        <v>0</v>
      </c>
      <c r="H402" s="284">
        <f>E402*55%</f>
        <v>8.25</v>
      </c>
      <c r="I402" s="284">
        <f>E402*234%</f>
        <v>35.099999999999994</v>
      </c>
      <c r="J402" s="284">
        <f>E402*0.1%</f>
        <v>1.4999999999999999E-2</v>
      </c>
      <c r="K402" s="284">
        <f>E402*4%</f>
        <v>0.6</v>
      </c>
      <c r="L402" s="284">
        <v>0</v>
      </c>
      <c r="M402" s="284">
        <f>E402*160%</f>
        <v>24</v>
      </c>
      <c r="N402" s="284">
        <f>E402*146%</f>
        <v>21.9</v>
      </c>
      <c r="O402" s="284">
        <f>E402*105%</f>
        <v>15.75</v>
      </c>
      <c r="P402" s="284">
        <f>E402*3.2%</f>
        <v>0.48</v>
      </c>
      <c r="Q402" s="284">
        <v>350</v>
      </c>
      <c r="R402" s="284">
        <f>C402/1000*350</f>
        <v>5.25</v>
      </c>
    </row>
    <row r="403" spans="1:18" ht="18.75" x14ac:dyDescent="0.3">
      <c r="A403" s="33"/>
      <c r="B403" s="284" t="s">
        <v>67</v>
      </c>
      <c r="C403" s="284">
        <v>10</v>
      </c>
      <c r="D403" s="284">
        <v>0</v>
      </c>
      <c r="E403" s="284">
        <v>10</v>
      </c>
      <c r="F403" s="284">
        <v>0</v>
      </c>
      <c r="G403" s="284">
        <v>0</v>
      </c>
      <c r="H403" s="284">
        <f>E403*99.8%</f>
        <v>9.98</v>
      </c>
      <c r="I403" s="284">
        <f>E403*379%</f>
        <v>37.9</v>
      </c>
      <c r="J403" s="284">
        <v>0</v>
      </c>
      <c r="K403" s="284">
        <v>0</v>
      </c>
      <c r="L403" s="284">
        <v>0</v>
      </c>
      <c r="M403" s="284">
        <f>E403*2%</f>
        <v>0.2</v>
      </c>
      <c r="N403" s="284">
        <v>0</v>
      </c>
      <c r="O403" s="284">
        <v>0</v>
      </c>
      <c r="P403" s="284">
        <f>E403*0.3%</f>
        <v>0.03</v>
      </c>
      <c r="Q403" s="284">
        <v>60</v>
      </c>
      <c r="R403" s="284">
        <f>C403/1000*60</f>
        <v>0.6</v>
      </c>
    </row>
    <row r="404" spans="1:18" ht="18.75" x14ac:dyDescent="0.3">
      <c r="A404" s="33"/>
      <c r="B404" s="27" t="s">
        <v>68</v>
      </c>
      <c r="C404" s="4">
        <v>25</v>
      </c>
      <c r="D404" s="4">
        <f t="shared" ref="D404:P404" si="55">SUM(D402:D403)</f>
        <v>0</v>
      </c>
      <c r="E404" s="4">
        <v>150</v>
      </c>
      <c r="F404" s="4">
        <f t="shared" si="55"/>
        <v>0.78</v>
      </c>
      <c r="G404" s="4">
        <f t="shared" si="55"/>
        <v>0</v>
      </c>
      <c r="H404" s="4">
        <f t="shared" si="55"/>
        <v>18.23</v>
      </c>
      <c r="I404" s="4">
        <f t="shared" si="55"/>
        <v>73</v>
      </c>
      <c r="J404" s="4">
        <f t="shared" si="55"/>
        <v>1.4999999999999999E-2</v>
      </c>
      <c r="K404" s="4">
        <f t="shared" si="55"/>
        <v>0.6</v>
      </c>
      <c r="L404" s="4">
        <f t="shared" si="55"/>
        <v>0</v>
      </c>
      <c r="M404" s="4">
        <f t="shared" si="55"/>
        <v>24.2</v>
      </c>
      <c r="N404" s="4">
        <f t="shared" si="55"/>
        <v>21.9</v>
      </c>
      <c r="O404" s="4">
        <f t="shared" si="55"/>
        <v>15.75</v>
      </c>
      <c r="P404" s="4">
        <f t="shared" si="55"/>
        <v>0.51</v>
      </c>
      <c r="Q404" s="4"/>
      <c r="R404" s="4">
        <f>SUM(R402:R403)</f>
        <v>5.85</v>
      </c>
    </row>
    <row r="405" spans="1:18" ht="18.75" x14ac:dyDescent="0.3">
      <c r="A405" s="104"/>
      <c r="B405" s="173" t="s">
        <v>102</v>
      </c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2"/>
    </row>
    <row r="406" spans="1:18" ht="18.75" x14ac:dyDescent="0.3">
      <c r="A406" s="104"/>
      <c r="B406" s="105" t="s">
        <v>68</v>
      </c>
      <c r="C406" s="106">
        <v>100</v>
      </c>
      <c r="D406" s="106">
        <v>0</v>
      </c>
      <c r="E406" s="106">
        <f>C406-D406</f>
        <v>100</v>
      </c>
      <c r="F406" s="106">
        <f>E406*1.5%</f>
        <v>1.5</v>
      </c>
      <c r="G406" s="106">
        <f>E406*0.5%</f>
        <v>0.5</v>
      </c>
      <c r="H406" s="106">
        <f>E406*21%</f>
        <v>21</v>
      </c>
      <c r="I406" s="106">
        <f>E406*96%</f>
        <v>96</v>
      </c>
      <c r="J406" s="106">
        <v>0</v>
      </c>
      <c r="K406" s="106">
        <v>8.6999999999999993</v>
      </c>
      <c r="L406" s="106">
        <v>3</v>
      </c>
      <c r="M406" s="106">
        <v>5</v>
      </c>
      <c r="N406" s="106">
        <v>22</v>
      </c>
      <c r="O406" s="106">
        <v>27</v>
      </c>
      <c r="P406" s="106">
        <v>0.3</v>
      </c>
      <c r="Q406" s="106">
        <v>150</v>
      </c>
      <c r="R406" s="106">
        <f>C406/1000*150</f>
        <v>15</v>
      </c>
    </row>
    <row r="407" spans="1:18" ht="21" x14ac:dyDescent="0.35">
      <c r="A407" s="33"/>
      <c r="B407" s="165" t="s">
        <v>106</v>
      </c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7"/>
    </row>
    <row r="408" spans="1:18" ht="18.75" x14ac:dyDescent="0.3">
      <c r="A408" s="33"/>
      <c r="B408" s="27" t="s">
        <v>68</v>
      </c>
      <c r="C408" s="23">
        <v>3</v>
      </c>
      <c r="D408" s="4">
        <v>0</v>
      </c>
      <c r="E408" s="23">
        <f>C408-D408</f>
        <v>3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20</v>
      </c>
      <c r="R408" s="23">
        <f>C408/1000*20</f>
        <v>0.06</v>
      </c>
    </row>
    <row r="409" spans="1:18" ht="23.25" x14ac:dyDescent="0.35">
      <c r="A409" s="24"/>
      <c r="B409" s="21" t="s">
        <v>68</v>
      </c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>
        <f>R408+R406+R404+R400+R398+R390</f>
        <v>61.585000000000001</v>
      </c>
    </row>
    <row r="412" spans="1:18" x14ac:dyDescent="0.25">
      <c r="R412" s="110">
        <f>(R30+R60+R91+R129+R158+R203+R237+R270+R346+R378+R409+R309)</f>
        <v>731.16100000000006</v>
      </c>
    </row>
    <row r="415" spans="1:18" x14ac:dyDescent="0.25">
      <c r="B415" s="62" t="s">
        <v>78</v>
      </c>
    </row>
    <row r="416" spans="1:18" x14ac:dyDescent="0.25">
      <c r="B416" s="62" t="s">
        <v>22</v>
      </c>
    </row>
    <row r="417" spans="2:2" x14ac:dyDescent="0.25">
      <c r="B417" s="94" t="s">
        <v>122</v>
      </c>
    </row>
    <row r="418" spans="2:2" x14ac:dyDescent="0.25">
      <c r="B418" s="94" t="s">
        <v>15</v>
      </c>
    </row>
    <row r="419" spans="2:2" x14ac:dyDescent="0.25">
      <c r="B419" s="94" t="s">
        <v>72</v>
      </c>
    </row>
    <row r="420" spans="2:2" x14ac:dyDescent="0.25">
      <c r="B420" s="100" t="s">
        <v>80</v>
      </c>
    </row>
    <row r="421" spans="2:2" x14ac:dyDescent="0.25">
      <c r="B421" s="58" t="s">
        <v>25</v>
      </c>
    </row>
    <row r="422" spans="2:2" x14ac:dyDescent="0.25">
      <c r="B422" s="94" t="s">
        <v>24</v>
      </c>
    </row>
  </sheetData>
  <mergeCells count="317">
    <mergeCell ref="B139:R139"/>
    <mergeCell ref="B148:R148"/>
    <mergeCell ref="B193:R193"/>
    <mergeCell ref="B227:R227"/>
    <mergeCell ref="A255:R255"/>
    <mergeCell ref="B303:R303"/>
    <mergeCell ref="B387:R387"/>
    <mergeCell ref="B331:R331"/>
    <mergeCell ref="Q317:Q319"/>
    <mergeCell ref="L318:L319"/>
    <mergeCell ref="M318:M319"/>
    <mergeCell ref="N318:N319"/>
    <mergeCell ref="O318:O319"/>
    <mergeCell ref="P318:P319"/>
    <mergeCell ref="R317:R319"/>
    <mergeCell ref="C281:C283"/>
    <mergeCell ref="D281:D283"/>
    <mergeCell ref="E281:E283"/>
    <mergeCell ref="B284:R284"/>
    <mergeCell ref="B290:R290"/>
    <mergeCell ref="C317:C319"/>
    <mergeCell ref="D317:D319"/>
    <mergeCell ref="E317:E319"/>
    <mergeCell ref="F317:F319"/>
    <mergeCell ref="Q3:Q5"/>
    <mergeCell ref="Q32:Q34"/>
    <mergeCell ref="R32:R34"/>
    <mergeCell ref="Q101:Q103"/>
    <mergeCell ref="Q136:Q138"/>
    <mergeCell ref="Q174:Q176"/>
    <mergeCell ref="Q209:Q211"/>
    <mergeCell ref="Q244:Q246"/>
    <mergeCell ref="Q281:Q283"/>
    <mergeCell ref="B78:R78"/>
    <mergeCell ref="B81:R81"/>
    <mergeCell ref="B87:R87"/>
    <mergeCell ref="B89:R89"/>
    <mergeCell ref="C65:C67"/>
    <mergeCell ref="E65:E67"/>
    <mergeCell ref="F65:F67"/>
    <mergeCell ref="G65:G67"/>
    <mergeCell ref="H65:H67"/>
    <mergeCell ref="K66:K67"/>
    <mergeCell ref="L66:L67"/>
    <mergeCell ref="G209:G211"/>
    <mergeCell ref="M4:M5"/>
    <mergeCell ref="N4:N5"/>
    <mergeCell ref="J4:J5"/>
    <mergeCell ref="B391:R391"/>
    <mergeCell ref="B399:R399"/>
    <mergeCell ref="B401:R401"/>
    <mergeCell ref="G384:G386"/>
    <mergeCell ref="H384:H386"/>
    <mergeCell ref="I384:I386"/>
    <mergeCell ref="J385:J386"/>
    <mergeCell ref="K385:K386"/>
    <mergeCell ref="L385:L386"/>
    <mergeCell ref="M385:M386"/>
    <mergeCell ref="N385:N386"/>
    <mergeCell ref="O385:O386"/>
    <mergeCell ref="P385:P386"/>
    <mergeCell ref="R384:R386"/>
    <mergeCell ref="J384:L384"/>
    <mergeCell ref="M384:P384"/>
    <mergeCell ref="Q384:Q386"/>
    <mergeCell ref="B384:B385"/>
    <mergeCell ref="B405:R405"/>
    <mergeCell ref="B407:R407"/>
    <mergeCell ref="B177:R177"/>
    <mergeCell ref="B184:R184"/>
    <mergeCell ref="B191:R191"/>
    <mergeCell ref="B197:R197"/>
    <mergeCell ref="B199:R199"/>
    <mergeCell ref="B201:R201"/>
    <mergeCell ref="B218:R218"/>
    <mergeCell ref="B222:R222"/>
    <mergeCell ref="B225:R225"/>
    <mergeCell ref="B233:R233"/>
    <mergeCell ref="B235:R235"/>
    <mergeCell ref="B247:R247"/>
    <mergeCell ref="B259:R259"/>
    <mergeCell ref="R350:R352"/>
    <mergeCell ref="C384:C386"/>
    <mergeCell ref="D384:D386"/>
    <mergeCell ref="E384:E386"/>
    <mergeCell ref="F384:F386"/>
    <mergeCell ref="B297:R297"/>
    <mergeCell ref="B299:R299"/>
    <mergeCell ref="B305:R305"/>
    <mergeCell ref="B307:R307"/>
    <mergeCell ref="G317:G319"/>
    <mergeCell ref="H317:H319"/>
    <mergeCell ref="I317:I319"/>
    <mergeCell ref="J318:J319"/>
    <mergeCell ref="K318:K319"/>
    <mergeCell ref="D244:D246"/>
    <mergeCell ref="E244:E246"/>
    <mergeCell ref="F244:F246"/>
    <mergeCell ref="G244:G246"/>
    <mergeCell ref="H244:H246"/>
    <mergeCell ref="I244:I246"/>
    <mergeCell ref="L282:L283"/>
    <mergeCell ref="M282:M283"/>
    <mergeCell ref="N282:N283"/>
    <mergeCell ref="B261:R261"/>
    <mergeCell ref="B265:R265"/>
    <mergeCell ref="B267:R267"/>
    <mergeCell ref="R244:R246"/>
    <mergeCell ref="J245:J246"/>
    <mergeCell ref="K245:K246"/>
    <mergeCell ref="L245:L246"/>
    <mergeCell ref="M245:M246"/>
    <mergeCell ref="N245:N246"/>
    <mergeCell ref="O245:O246"/>
    <mergeCell ref="P245:P246"/>
    <mergeCell ref="O282:O283"/>
    <mergeCell ref="P282:P283"/>
    <mergeCell ref="R281:R283"/>
    <mergeCell ref="M281:P281"/>
    <mergeCell ref="H209:H211"/>
    <mergeCell ref="I209:I211"/>
    <mergeCell ref="R209:R211"/>
    <mergeCell ref="J210:J211"/>
    <mergeCell ref="K210:K211"/>
    <mergeCell ref="L210:L211"/>
    <mergeCell ref="M210:M211"/>
    <mergeCell ref="N210:N211"/>
    <mergeCell ref="O210:O211"/>
    <mergeCell ref="P210:P211"/>
    <mergeCell ref="B143:R143"/>
    <mergeCell ref="B146:R146"/>
    <mergeCell ref="B154:R154"/>
    <mergeCell ref="B156:R156"/>
    <mergeCell ref="C174:C176"/>
    <mergeCell ref="D174:D176"/>
    <mergeCell ref="E174:E176"/>
    <mergeCell ref="F174:F176"/>
    <mergeCell ref="G174:G176"/>
    <mergeCell ref="H174:H176"/>
    <mergeCell ref="I174:I176"/>
    <mergeCell ref="R174:R176"/>
    <mergeCell ref="J175:J176"/>
    <mergeCell ref="K175:K176"/>
    <mergeCell ref="L175:L176"/>
    <mergeCell ref="M175:M176"/>
    <mergeCell ref="N175:N176"/>
    <mergeCell ref="O175:O176"/>
    <mergeCell ref="P175:P176"/>
    <mergeCell ref="J174:L174"/>
    <mergeCell ref="B376:R376"/>
    <mergeCell ref="M66:M67"/>
    <mergeCell ref="N66:N67"/>
    <mergeCell ref="B317:B318"/>
    <mergeCell ref="J317:L317"/>
    <mergeCell ref="M317:P317"/>
    <mergeCell ref="B281:B282"/>
    <mergeCell ref="J281:L281"/>
    <mergeCell ref="C209:C211"/>
    <mergeCell ref="D209:D211"/>
    <mergeCell ref="E209:E211"/>
    <mergeCell ref="F209:F211"/>
    <mergeCell ref="M244:P244"/>
    <mergeCell ref="J209:L209"/>
    <mergeCell ref="M209:P209"/>
    <mergeCell ref="F281:F283"/>
    <mergeCell ref="G281:G283"/>
    <mergeCell ref="H281:H283"/>
    <mergeCell ref="I281:I283"/>
    <mergeCell ref="J282:J283"/>
    <mergeCell ref="K282:K283"/>
    <mergeCell ref="B374:R374"/>
    <mergeCell ref="P66:P67"/>
    <mergeCell ref="K102:K103"/>
    <mergeCell ref="A1:R1"/>
    <mergeCell ref="O4:O5"/>
    <mergeCell ref="P4:P5"/>
    <mergeCell ref="R3:R5"/>
    <mergeCell ref="J244:L244"/>
    <mergeCell ref="B65:B66"/>
    <mergeCell ref="B209:B210"/>
    <mergeCell ref="B244:B245"/>
    <mergeCell ref="B174:B175"/>
    <mergeCell ref="B32:B33"/>
    <mergeCell ref="B101:B102"/>
    <mergeCell ref="B136:B137"/>
    <mergeCell ref="D32:D34"/>
    <mergeCell ref="C33:C34"/>
    <mergeCell ref="E32:E34"/>
    <mergeCell ref="F32:F34"/>
    <mergeCell ref="G32:G34"/>
    <mergeCell ref="H32:H34"/>
    <mergeCell ref="B41:R41"/>
    <mergeCell ref="M65:P65"/>
    <mergeCell ref="L102:L103"/>
    <mergeCell ref="M102:M103"/>
    <mergeCell ref="N102:N103"/>
    <mergeCell ref="L4:L5"/>
    <mergeCell ref="B353:R353"/>
    <mergeCell ref="B359:R359"/>
    <mergeCell ref="B6:R6"/>
    <mergeCell ref="B10:R10"/>
    <mergeCell ref="B20:R20"/>
    <mergeCell ref="B24:R24"/>
    <mergeCell ref="A74:R74"/>
    <mergeCell ref="B83:R83"/>
    <mergeCell ref="A18:R18"/>
    <mergeCell ref="A26:R26"/>
    <mergeCell ref="A28:R28"/>
    <mergeCell ref="M33:M34"/>
    <mergeCell ref="N33:N34"/>
    <mergeCell ref="O33:O34"/>
    <mergeCell ref="P33:P34"/>
    <mergeCell ref="J32:L32"/>
    <mergeCell ref="M32:P32"/>
    <mergeCell ref="B334:R334"/>
    <mergeCell ref="J66:J67"/>
    <mergeCell ref="B104:R104"/>
    <mergeCell ref="B113:R113"/>
    <mergeCell ref="B119:R119"/>
    <mergeCell ref="B121:R121"/>
    <mergeCell ref="B125:R125"/>
    <mergeCell ref="A317:A318"/>
    <mergeCell ref="A281:A282"/>
    <mergeCell ref="A209:A210"/>
    <mergeCell ref="A174:A175"/>
    <mergeCell ref="A136:A137"/>
    <mergeCell ref="K4:K5"/>
    <mergeCell ref="J3:L3"/>
    <mergeCell ref="M3:P3"/>
    <mergeCell ref="A3:A4"/>
    <mergeCell ref="B3:B4"/>
    <mergeCell ref="D3:D5"/>
    <mergeCell ref="E3:E5"/>
    <mergeCell ref="C3:C5"/>
    <mergeCell ref="F3:F5"/>
    <mergeCell ref="G3:G5"/>
    <mergeCell ref="H3:H5"/>
    <mergeCell ref="I3:I5"/>
    <mergeCell ref="B127:R127"/>
    <mergeCell ref="C136:C138"/>
    <mergeCell ref="D136:D138"/>
    <mergeCell ref="L137:L138"/>
    <mergeCell ref="M137:M138"/>
    <mergeCell ref="N137:N138"/>
    <mergeCell ref="O137:O138"/>
    <mergeCell ref="H350:H352"/>
    <mergeCell ref="I350:I352"/>
    <mergeCell ref="J351:J352"/>
    <mergeCell ref="O66:O67"/>
    <mergeCell ref="I65:I67"/>
    <mergeCell ref="B336:R336"/>
    <mergeCell ref="B340:R340"/>
    <mergeCell ref="B342:R342"/>
    <mergeCell ref="B344:R344"/>
    <mergeCell ref="E136:E138"/>
    <mergeCell ref="F136:F138"/>
    <mergeCell ref="G136:G138"/>
    <mergeCell ref="H136:H138"/>
    <mergeCell ref="I136:I138"/>
    <mergeCell ref="R136:R138"/>
    <mergeCell ref="J137:J138"/>
    <mergeCell ref="K137:K138"/>
    <mergeCell ref="Q65:Q67"/>
    <mergeCell ref="R65:R67"/>
    <mergeCell ref="C101:C103"/>
    <mergeCell ref="R101:R103"/>
    <mergeCell ref="J102:J103"/>
    <mergeCell ref="D101:D103"/>
    <mergeCell ref="E101:E103"/>
    <mergeCell ref="J33:J34"/>
    <mergeCell ref="K33:K34"/>
    <mergeCell ref="J65:L65"/>
    <mergeCell ref="M174:P174"/>
    <mergeCell ref="B50:R50"/>
    <mergeCell ref="B52:R52"/>
    <mergeCell ref="B56:R56"/>
    <mergeCell ref="B58:R58"/>
    <mergeCell ref="D65:D67"/>
    <mergeCell ref="B152:R152"/>
    <mergeCell ref="M136:P136"/>
    <mergeCell ref="L33:L34"/>
    <mergeCell ref="A35:R35"/>
    <mergeCell ref="A101:A102"/>
    <mergeCell ref="F101:F103"/>
    <mergeCell ref="G101:G103"/>
    <mergeCell ref="H101:H103"/>
    <mergeCell ref="I101:I103"/>
    <mergeCell ref="J101:L101"/>
    <mergeCell ref="M101:P101"/>
    <mergeCell ref="O102:O103"/>
    <mergeCell ref="P102:P103"/>
    <mergeCell ref="P137:P138"/>
    <mergeCell ref="J136:L136"/>
    <mergeCell ref="B320:R320"/>
    <mergeCell ref="B231:R231"/>
    <mergeCell ref="A212:R212"/>
    <mergeCell ref="A68:R68"/>
    <mergeCell ref="I32:I34"/>
    <mergeCell ref="A244:A245"/>
    <mergeCell ref="C244:C246"/>
    <mergeCell ref="B370:R370"/>
    <mergeCell ref="Q350:Q352"/>
    <mergeCell ref="B350:B351"/>
    <mergeCell ref="J350:L350"/>
    <mergeCell ref="M350:P350"/>
    <mergeCell ref="K351:K352"/>
    <mergeCell ref="L351:L352"/>
    <mergeCell ref="M351:M352"/>
    <mergeCell ref="N351:N352"/>
    <mergeCell ref="O351:O352"/>
    <mergeCell ref="P351:P352"/>
    <mergeCell ref="D350:D352"/>
    <mergeCell ref="C350:C352"/>
    <mergeCell ref="E350:E352"/>
    <mergeCell ref="F350:F352"/>
    <mergeCell ref="G350:G352"/>
    <mergeCell ref="B368:R368"/>
  </mergeCells>
  <phoneticPr fontId="19" type="noConversion"/>
  <pageMargins left="0" right="0" top="0" bottom="0" header="0" footer="0"/>
  <pageSetup paperSize="25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>
      <selection activeCell="X21" sqref="X21"/>
    </sheetView>
  </sheetViews>
  <sheetFormatPr defaultRowHeight="15" x14ac:dyDescent="0.25"/>
  <cols>
    <col min="1" max="1" width="16.28515625" customWidth="1"/>
    <col min="2" max="22" width="6.140625" customWidth="1"/>
    <col min="23" max="23" width="7.140625" customWidth="1"/>
    <col min="24" max="26" width="6.140625" customWidth="1"/>
  </cols>
  <sheetData>
    <row r="1" spans="1:26" ht="15.75" thickBot="1" x14ac:dyDescent="0.3">
      <c r="A1" s="5" t="s">
        <v>26</v>
      </c>
      <c r="B1" s="6">
        <v>358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8"/>
      <c r="Z1" s="8"/>
    </row>
    <row r="2" spans="1:2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8"/>
      <c r="Z2" s="8" t="s">
        <v>27</v>
      </c>
    </row>
    <row r="3" spans="1:26" ht="55.5" x14ac:dyDescent="0.25">
      <c r="A3" s="9" t="s">
        <v>28</v>
      </c>
      <c r="B3" s="10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0" t="s">
        <v>36</v>
      </c>
      <c r="J3" s="10" t="s">
        <v>37</v>
      </c>
      <c r="K3" s="10" t="s">
        <v>38</v>
      </c>
      <c r="L3" s="10" t="s">
        <v>39</v>
      </c>
      <c r="M3" s="10" t="s">
        <v>40</v>
      </c>
      <c r="N3" s="10" t="s">
        <v>41</v>
      </c>
      <c r="O3" s="10" t="s">
        <v>42</v>
      </c>
      <c r="P3" s="10" t="s">
        <v>43</v>
      </c>
      <c r="Q3" s="10" t="s">
        <v>44</v>
      </c>
      <c r="R3" s="10" t="s">
        <v>45</v>
      </c>
      <c r="S3" s="10" t="s">
        <v>46</v>
      </c>
      <c r="T3" s="10" t="s">
        <v>47</v>
      </c>
      <c r="U3" s="10" t="s">
        <v>48</v>
      </c>
      <c r="V3" s="10" t="s">
        <v>49</v>
      </c>
      <c r="W3" s="10" t="s">
        <v>50</v>
      </c>
      <c r="X3" s="11" t="s">
        <v>51</v>
      </c>
      <c r="Y3" s="11" t="s">
        <v>52</v>
      </c>
      <c r="Z3" s="11"/>
    </row>
    <row r="4" spans="1:26" x14ac:dyDescent="0.25">
      <c r="A4" s="12" t="s">
        <v>53</v>
      </c>
      <c r="B4" s="13"/>
      <c r="C4" s="13">
        <v>1E-3</v>
      </c>
      <c r="D4" s="13"/>
      <c r="E4" s="13"/>
      <c r="F4" s="13"/>
      <c r="G4" s="13"/>
      <c r="H4" s="13"/>
      <c r="I4" s="13">
        <v>0.05</v>
      </c>
      <c r="J4" s="13"/>
      <c r="K4" s="14"/>
      <c r="L4" s="14">
        <v>8.0000000000000002E-3</v>
      </c>
      <c r="M4" s="14"/>
      <c r="N4" s="14"/>
      <c r="O4" s="14"/>
      <c r="P4" s="14"/>
      <c r="Q4" s="14"/>
      <c r="R4" s="14">
        <v>5.0000000000000001E-3</v>
      </c>
      <c r="S4" s="14"/>
      <c r="T4" s="13"/>
      <c r="U4" s="13"/>
      <c r="V4" s="13"/>
      <c r="W4" s="13"/>
      <c r="X4" s="13"/>
      <c r="Y4" s="13"/>
      <c r="Z4" s="13"/>
    </row>
    <row r="5" spans="1:26" x14ac:dyDescent="0.25">
      <c r="A5" s="12" t="s">
        <v>54</v>
      </c>
      <c r="B5" s="13"/>
      <c r="C5" s="13">
        <v>1E-3</v>
      </c>
      <c r="D5" s="13"/>
      <c r="E5" s="13">
        <v>0.04</v>
      </c>
      <c r="F5" s="13">
        <v>1.4999999999999999E-2</v>
      </c>
      <c r="G5" s="13">
        <v>0.02</v>
      </c>
      <c r="H5" s="13"/>
      <c r="I5" s="13"/>
      <c r="J5" s="13"/>
      <c r="K5" s="14"/>
      <c r="L5" s="14"/>
      <c r="M5" s="14"/>
      <c r="N5" s="14"/>
      <c r="O5" s="14"/>
      <c r="P5" s="14"/>
      <c r="Q5" s="14"/>
      <c r="R5" s="14"/>
      <c r="S5" s="14">
        <v>0.01</v>
      </c>
      <c r="T5" s="13"/>
      <c r="U5" s="13"/>
      <c r="V5" s="13"/>
      <c r="W5" s="13"/>
      <c r="X5" s="13"/>
      <c r="Y5" s="13">
        <v>0.03</v>
      </c>
      <c r="Z5" s="13"/>
    </row>
    <row r="6" spans="1:26" x14ac:dyDescent="0.25">
      <c r="A6" s="12" t="s">
        <v>55</v>
      </c>
      <c r="B6" s="13">
        <v>0.05</v>
      </c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3"/>
      <c r="U6" s="13"/>
      <c r="V6" s="13"/>
      <c r="W6" s="13"/>
      <c r="X6" s="13"/>
      <c r="Y6" s="13"/>
      <c r="Z6" s="13"/>
    </row>
    <row r="7" spans="1:26" x14ac:dyDescent="0.25">
      <c r="A7" s="12" t="s">
        <v>56</v>
      </c>
      <c r="B7" s="13"/>
      <c r="C7" s="13"/>
      <c r="D7" s="13"/>
      <c r="E7" s="13"/>
      <c r="F7" s="13"/>
      <c r="G7" s="13"/>
      <c r="H7" s="13"/>
      <c r="I7" s="13"/>
      <c r="J7" s="13"/>
      <c r="K7" s="14"/>
      <c r="L7" s="14"/>
      <c r="M7" s="14"/>
      <c r="N7" s="14"/>
      <c r="O7" s="14"/>
      <c r="P7" s="14"/>
      <c r="Q7" s="14"/>
      <c r="R7" s="14"/>
      <c r="S7" s="14"/>
      <c r="T7" s="13">
        <v>1.4999999999999999E-2</v>
      </c>
      <c r="U7" s="13">
        <v>0.01</v>
      </c>
      <c r="V7" s="13"/>
      <c r="W7" s="13"/>
      <c r="X7" s="13"/>
      <c r="Y7" s="13"/>
      <c r="Z7" s="13"/>
    </row>
    <row r="8" spans="1:26" x14ac:dyDescent="0.25">
      <c r="A8" s="12" t="s">
        <v>57</v>
      </c>
      <c r="B8" s="13"/>
      <c r="C8" s="13"/>
      <c r="D8" s="13"/>
      <c r="E8" s="13"/>
      <c r="F8" s="13"/>
      <c r="G8" s="13"/>
      <c r="H8" s="13"/>
      <c r="I8" s="13"/>
      <c r="J8" s="13"/>
      <c r="K8" s="14"/>
      <c r="L8" s="14"/>
      <c r="M8" s="14"/>
      <c r="N8" s="14"/>
      <c r="O8" s="14"/>
      <c r="P8" s="14"/>
      <c r="Q8" s="14"/>
      <c r="R8" s="14"/>
      <c r="S8" s="14"/>
      <c r="T8" s="13"/>
      <c r="U8" s="13"/>
      <c r="V8" s="13"/>
      <c r="W8" s="13">
        <v>0.1</v>
      </c>
      <c r="X8" s="13"/>
      <c r="Y8" s="13"/>
      <c r="Z8" s="13"/>
    </row>
    <row r="9" spans="1:26" x14ac:dyDescent="0.25">
      <c r="A9" s="12" t="s">
        <v>58</v>
      </c>
      <c r="B9" s="13"/>
      <c r="C9" s="13">
        <v>1E-3</v>
      </c>
      <c r="D9" s="13">
        <v>0.1</v>
      </c>
      <c r="E9" s="13"/>
      <c r="F9" s="13"/>
      <c r="G9" s="13"/>
      <c r="H9" s="13"/>
      <c r="I9" s="13"/>
      <c r="J9" s="13"/>
      <c r="K9" s="14"/>
      <c r="L9" s="14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</row>
    <row r="10" spans="1:26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4"/>
      <c r="L10" s="14"/>
      <c r="M10" s="14"/>
      <c r="N10" s="14"/>
      <c r="O10" s="14"/>
      <c r="P10" s="14"/>
      <c r="Q10" s="14"/>
      <c r="R10" s="14"/>
      <c r="S10" s="14"/>
      <c r="T10" s="13"/>
      <c r="U10" s="13" t="s">
        <v>59</v>
      </c>
      <c r="V10" s="13"/>
      <c r="W10" s="13"/>
      <c r="X10" s="13"/>
      <c r="Y10" s="13"/>
      <c r="Z10" s="13"/>
    </row>
    <row r="11" spans="1:26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4"/>
      <c r="L11" s="14"/>
      <c r="M11" s="14"/>
      <c r="N11" s="14"/>
      <c r="O11" s="14"/>
      <c r="P11" s="14"/>
      <c r="Q11" s="14"/>
      <c r="R11" s="14"/>
      <c r="S11" s="14"/>
      <c r="T11" s="13"/>
      <c r="U11" s="13"/>
      <c r="V11" s="13"/>
      <c r="W11" s="13"/>
      <c r="X11" s="13"/>
      <c r="Y11" s="13"/>
      <c r="Z11" s="13"/>
    </row>
    <row r="12" spans="1:26" x14ac:dyDescent="0.25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4"/>
      <c r="L12" s="14"/>
      <c r="M12" s="14"/>
      <c r="N12" s="14"/>
      <c r="O12" s="14"/>
      <c r="P12" s="14"/>
      <c r="Q12" s="14"/>
      <c r="R12" s="14"/>
      <c r="S12" s="14"/>
      <c r="T12" s="13"/>
      <c r="U12" s="13"/>
      <c r="V12" s="13"/>
      <c r="W12" s="13"/>
      <c r="X12" s="13"/>
      <c r="Y12" s="13"/>
      <c r="Z12" s="13"/>
    </row>
    <row r="13" spans="1:26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4"/>
      <c r="Q13" s="14"/>
      <c r="R13" s="14"/>
      <c r="S13" s="14"/>
      <c r="T13" s="13"/>
      <c r="U13" s="13"/>
      <c r="V13" s="13"/>
      <c r="W13" s="13"/>
      <c r="X13" s="13"/>
      <c r="Y13" s="13"/>
      <c r="Z13" s="13"/>
    </row>
    <row r="14" spans="1:26" x14ac:dyDescent="0.2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4"/>
      <c r="L14" s="14"/>
      <c r="M14" s="14"/>
      <c r="N14" s="14"/>
      <c r="O14" s="14"/>
      <c r="P14" s="14"/>
      <c r="Q14" s="14"/>
      <c r="R14" s="14"/>
      <c r="S14" s="14"/>
      <c r="T14" s="13"/>
      <c r="U14" s="13"/>
      <c r="V14" s="13"/>
      <c r="W14" s="13"/>
      <c r="X14" s="13"/>
      <c r="Y14" s="13"/>
      <c r="Z14" s="13"/>
    </row>
    <row r="15" spans="1:26" x14ac:dyDescent="0.25">
      <c r="A15" s="12"/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4"/>
      <c r="N15" s="14"/>
      <c r="O15" s="14"/>
      <c r="P15" s="14"/>
      <c r="Q15" s="14"/>
      <c r="R15" s="14"/>
      <c r="S15" s="14"/>
      <c r="T15" s="13"/>
      <c r="U15" s="13"/>
      <c r="V15" s="13"/>
      <c r="W15" s="13"/>
      <c r="X15" s="13"/>
      <c r="Y15" s="13"/>
      <c r="Z15" s="13"/>
    </row>
    <row r="16" spans="1:26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3"/>
      <c r="U16" s="13"/>
      <c r="V16" s="13"/>
      <c r="W16" s="13"/>
      <c r="X16" s="13"/>
      <c r="Y16" s="13"/>
      <c r="Z16" s="13"/>
    </row>
    <row r="17" spans="1:26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4"/>
      <c r="L17" s="14"/>
      <c r="M17" s="14"/>
      <c r="N17" s="14"/>
      <c r="O17" s="14"/>
      <c r="P17" s="14"/>
      <c r="Q17" s="14"/>
      <c r="R17" s="14"/>
      <c r="S17" s="14"/>
      <c r="T17" s="13"/>
      <c r="U17" s="13"/>
      <c r="V17" s="13"/>
      <c r="W17" s="13"/>
      <c r="X17" s="13"/>
      <c r="Y17" s="13"/>
      <c r="Z17" s="13"/>
    </row>
    <row r="18" spans="1:26" x14ac:dyDescent="0.2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4"/>
      <c r="L18" s="14"/>
      <c r="M18" s="14"/>
      <c r="N18" s="14"/>
      <c r="O18" s="14"/>
      <c r="P18" s="14"/>
      <c r="Q18" s="14"/>
      <c r="R18" s="14"/>
      <c r="S18" s="14"/>
      <c r="T18" s="13"/>
      <c r="U18" s="13"/>
      <c r="V18" s="13"/>
      <c r="W18" s="13"/>
      <c r="X18" s="13"/>
      <c r="Y18" s="13"/>
      <c r="Z18" s="13"/>
    </row>
    <row r="19" spans="1:26" x14ac:dyDescent="0.25">
      <c r="A19" s="12" t="s">
        <v>60</v>
      </c>
      <c r="B19" s="15">
        <f>SUM(B4:B18)</f>
        <v>0.05</v>
      </c>
      <c r="C19" s="15">
        <f t="shared" ref="C19:X19" si="0">SUM(C4:C18)</f>
        <v>3.0000000000000001E-3</v>
      </c>
      <c r="D19" s="15">
        <f t="shared" si="0"/>
        <v>0.1</v>
      </c>
      <c r="E19" s="15">
        <f t="shared" si="0"/>
        <v>0.04</v>
      </c>
      <c r="F19" s="15">
        <f t="shared" si="0"/>
        <v>1.4999999999999999E-2</v>
      </c>
      <c r="G19" s="15">
        <f t="shared" si="0"/>
        <v>0.02</v>
      </c>
      <c r="H19" s="15">
        <f t="shared" si="0"/>
        <v>0</v>
      </c>
      <c r="I19" s="15">
        <f t="shared" si="0"/>
        <v>0.05</v>
      </c>
      <c r="J19" s="15">
        <f t="shared" si="0"/>
        <v>0</v>
      </c>
      <c r="K19" s="15">
        <f t="shared" si="0"/>
        <v>0</v>
      </c>
      <c r="L19" s="15">
        <f t="shared" si="0"/>
        <v>8.0000000000000002E-3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5.0000000000000001E-3</v>
      </c>
      <c r="S19" s="15">
        <f t="shared" si="0"/>
        <v>0.01</v>
      </c>
      <c r="T19" s="15">
        <f t="shared" si="0"/>
        <v>1.4999999999999999E-2</v>
      </c>
      <c r="U19" s="15">
        <f t="shared" si="0"/>
        <v>0.01</v>
      </c>
      <c r="V19" s="15">
        <f t="shared" si="0"/>
        <v>0</v>
      </c>
      <c r="W19" s="15">
        <f t="shared" si="0"/>
        <v>0.1</v>
      </c>
      <c r="X19" s="15">
        <f t="shared" si="0"/>
        <v>0</v>
      </c>
      <c r="Y19" s="15">
        <v>0.04</v>
      </c>
      <c r="Z19" s="15"/>
    </row>
    <row r="20" spans="1:26" x14ac:dyDescent="0.25">
      <c r="A20" s="12" t="s">
        <v>61</v>
      </c>
      <c r="B20" s="16">
        <f>B1*B19</f>
        <v>17.900000000000002</v>
      </c>
      <c r="C20" s="16">
        <f>C19*B1</f>
        <v>1.0740000000000001</v>
      </c>
      <c r="D20" s="16">
        <f>D19*B1</f>
        <v>35.800000000000004</v>
      </c>
      <c r="E20" s="16">
        <f>B1*E19</f>
        <v>14.32</v>
      </c>
      <c r="F20" s="16">
        <f>F19*B1</f>
        <v>5.37</v>
      </c>
      <c r="G20" s="16">
        <f>B1*G19</f>
        <v>7.16</v>
      </c>
      <c r="H20" s="16">
        <f>B1*H19</f>
        <v>0</v>
      </c>
      <c r="I20" s="16">
        <f>B1*I19</f>
        <v>17.900000000000002</v>
      </c>
      <c r="J20" s="16">
        <f>B1*J19</f>
        <v>0</v>
      </c>
      <c r="K20" s="16">
        <f>B1*K19</f>
        <v>0</v>
      </c>
      <c r="L20" s="16">
        <f>B1*L19</f>
        <v>2.8639999999999999</v>
      </c>
      <c r="M20" s="16">
        <f>B1*M19</f>
        <v>0</v>
      </c>
      <c r="N20" s="16">
        <f>B1*N19</f>
        <v>0</v>
      </c>
      <c r="O20" s="16">
        <f>B1*O19</f>
        <v>0</v>
      </c>
      <c r="P20" s="16">
        <f>B1*P19</f>
        <v>0</v>
      </c>
      <c r="Q20" s="16">
        <f>B1*Q19</f>
        <v>0</v>
      </c>
      <c r="R20" s="16">
        <f>B1*R19</f>
        <v>1.79</v>
      </c>
      <c r="S20" s="16">
        <f>B1*S19</f>
        <v>3.58</v>
      </c>
      <c r="T20" s="16">
        <f>B1*T19</f>
        <v>5.37</v>
      </c>
      <c r="U20" s="16">
        <f>B1*U19</f>
        <v>3.58</v>
      </c>
      <c r="V20" s="16">
        <f>B1*V19</f>
        <v>0</v>
      </c>
      <c r="W20" s="16">
        <f>B1*W19</f>
        <v>35.800000000000004</v>
      </c>
      <c r="X20" s="16">
        <f>B11*X19</f>
        <v>0</v>
      </c>
      <c r="Y20" s="16">
        <f>B1*Y19</f>
        <v>14.32</v>
      </c>
      <c r="Z20" s="16"/>
    </row>
    <row r="21" spans="1:26" x14ac:dyDescent="0.25">
      <c r="A21" s="12" t="s">
        <v>62</v>
      </c>
      <c r="B21" s="12">
        <v>50</v>
      </c>
      <c r="C21" s="12">
        <v>20</v>
      </c>
      <c r="D21" s="12">
        <v>240</v>
      </c>
      <c r="E21" s="12">
        <v>60</v>
      </c>
      <c r="F21" s="12">
        <v>40</v>
      </c>
      <c r="G21" s="12">
        <v>60</v>
      </c>
      <c r="H21" s="12">
        <v>30</v>
      </c>
      <c r="I21" s="12">
        <v>60</v>
      </c>
      <c r="J21" s="12">
        <v>55</v>
      </c>
      <c r="K21" s="12">
        <v>60</v>
      </c>
      <c r="L21" s="12">
        <v>270</v>
      </c>
      <c r="M21" s="12">
        <v>80</v>
      </c>
      <c r="N21" s="12">
        <v>500</v>
      </c>
      <c r="O21" s="12">
        <v>500</v>
      </c>
      <c r="P21" s="12">
        <v>80</v>
      </c>
      <c r="Q21" s="12">
        <v>27</v>
      </c>
      <c r="R21" s="12">
        <v>100</v>
      </c>
      <c r="S21" s="12">
        <v>300</v>
      </c>
      <c r="T21" s="12">
        <v>600</v>
      </c>
      <c r="U21" s="12">
        <v>60</v>
      </c>
      <c r="V21" s="12">
        <v>180</v>
      </c>
      <c r="W21" s="12">
        <v>120</v>
      </c>
      <c r="X21" s="12">
        <v>1100</v>
      </c>
      <c r="Y21" s="12">
        <v>60</v>
      </c>
      <c r="Z21" s="12"/>
    </row>
    <row r="22" spans="1:26" ht="15.75" thickBot="1" x14ac:dyDescent="0.3">
      <c r="A22" s="12" t="s">
        <v>63</v>
      </c>
      <c r="B22" s="17">
        <f>B20*B21</f>
        <v>895.00000000000011</v>
      </c>
      <c r="C22" s="17">
        <f t="shared" ref="C22:Y22" si="1">C20*C21</f>
        <v>21.48</v>
      </c>
      <c r="D22" s="17">
        <f t="shared" si="1"/>
        <v>8592.0000000000018</v>
      </c>
      <c r="E22" s="17">
        <f t="shared" si="1"/>
        <v>859.2</v>
      </c>
      <c r="F22" s="17">
        <f t="shared" si="1"/>
        <v>214.8</v>
      </c>
      <c r="G22" s="17">
        <f t="shared" si="1"/>
        <v>429.6</v>
      </c>
      <c r="H22" s="17">
        <f t="shared" si="1"/>
        <v>0</v>
      </c>
      <c r="I22" s="17">
        <f t="shared" si="1"/>
        <v>1074.0000000000002</v>
      </c>
      <c r="J22" s="17">
        <f t="shared" si="1"/>
        <v>0</v>
      </c>
      <c r="K22" s="17">
        <f t="shared" si="1"/>
        <v>0</v>
      </c>
      <c r="L22" s="17">
        <f t="shared" si="1"/>
        <v>773.28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179</v>
      </c>
      <c r="S22" s="17">
        <f t="shared" si="1"/>
        <v>1074</v>
      </c>
      <c r="T22" s="17">
        <f t="shared" si="1"/>
        <v>3222</v>
      </c>
      <c r="U22" s="17">
        <f t="shared" si="1"/>
        <v>214.8</v>
      </c>
      <c r="V22" s="17">
        <f t="shared" si="1"/>
        <v>0</v>
      </c>
      <c r="W22" s="17">
        <f t="shared" si="1"/>
        <v>4296.0000000000009</v>
      </c>
      <c r="X22" s="17">
        <f t="shared" si="1"/>
        <v>0</v>
      </c>
      <c r="Y22" s="17">
        <f t="shared" si="1"/>
        <v>859.2</v>
      </c>
      <c r="Z22" s="17"/>
    </row>
    <row r="23" spans="1:26" ht="15.75" thickBot="1" x14ac:dyDescent="0.3">
      <c r="A23" s="7" t="s">
        <v>64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18">
        <f>SUM(B22:X22)/B1</f>
        <v>61.02</v>
      </c>
      <c r="X23" s="19"/>
      <c r="Y23" s="19"/>
      <c r="Z23" s="18"/>
    </row>
    <row r="24" spans="1:26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20"/>
      <c r="X24" s="20"/>
      <c r="Y24" s="8"/>
      <c r="Z24" s="8"/>
    </row>
    <row r="25" spans="1:26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  <c r="Z25" s="8"/>
    </row>
  </sheetData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3"/>
  <sheetViews>
    <sheetView zoomScaleSheetLayoutView="130" workbookViewId="0">
      <selection activeCell="D10" sqref="D10:L13"/>
    </sheetView>
  </sheetViews>
  <sheetFormatPr defaultRowHeight="15" x14ac:dyDescent="0.25"/>
  <cols>
    <col min="1" max="1" width="5.5703125" customWidth="1"/>
    <col min="2" max="2" width="9.140625" customWidth="1"/>
    <col min="6" max="6" width="12.140625" customWidth="1"/>
    <col min="9" max="9" width="7.140625" customWidth="1"/>
    <col min="10" max="10" width="11.5703125" customWidth="1"/>
  </cols>
  <sheetData>
    <row r="3" spans="2:14" ht="15.75" x14ac:dyDescent="0.25">
      <c r="B3" s="275" t="s">
        <v>98</v>
      </c>
      <c r="C3" s="275"/>
      <c r="D3" s="46"/>
      <c r="E3" s="46"/>
      <c r="F3" s="46"/>
      <c r="G3" s="37"/>
      <c r="H3" s="37"/>
      <c r="I3" s="37"/>
      <c r="J3" s="46"/>
      <c r="K3" s="46"/>
      <c r="L3" s="276" t="s">
        <v>95</v>
      </c>
      <c r="M3" s="276"/>
      <c r="N3" s="276"/>
    </row>
    <row r="4" spans="2:14" ht="15.75" x14ac:dyDescent="0.25">
      <c r="B4" s="274" t="s">
        <v>99</v>
      </c>
      <c r="C4" s="274"/>
      <c r="D4" s="274"/>
      <c r="E4" s="274"/>
      <c r="F4" s="274"/>
      <c r="G4" s="37"/>
      <c r="H4" s="37"/>
      <c r="I4" s="37"/>
      <c r="J4" s="276" t="s">
        <v>96</v>
      </c>
      <c r="K4" s="276"/>
      <c r="L4" s="276"/>
      <c r="M4" s="276"/>
      <c r="N4" s="276"/>
    </row>
    <row r="5" spans="2:14" ht="15.75" x14ac:dyDescent="0.25">
      <c r="B5" s="275" t="s">
        <v>116</v>
      </c>
      <c r="C5" s="275"/>
      <c r="D5" s="275"/>
      <c r="E5" s="275"/>
      <c r="F5" s="275"/>
      <c r="G5" s="37"/>
      <c r="H5" s="37"/>
      <c r="I5" s="37"/>
      <c r="J5" s="277" t="s">
        <v>101</v>
      </c>
      <c r="K5" s="277"/>
      <c r="L5" s="277"/>
      <c r="M5" s="277"/>
      <c r="N5" s="277"/>
    </row>
    <row r="6" spans="2:14" ht="16.5" thickBot="1" x14ac:dyDescent="0.3">
      <c r="B6" s="46" t="s">
        <v>100</v>
      </c>
      <c r="C6" s="47"/>
      <c r="D6" s="47"/>
      <c r="E6" s="46"/>
      <c r="F6" s="46"/>
      <c r="G6" s="37"/>
      <c r="H6" s="37"/>
      <c r="I6" s="37"/>
      <c r="J6" s="46"/>
      <c r="K6" s="47"/>
      <c r="L6" s="47"/>
      <c r="M6" s="276" t="s">
        <v>97</v>
      </c>
      <c r="N6" s="276"/>
    </row>
    <row r="10" spans="2:14" x14ac:dyDescent="0.25">
      <c r="D10" s="273" t="s">
        <v>132</v>
      </c>
      <c r="E10" s="273"/>
      <c r="F10" s="273"/>
      <c r="G10" s="273"/>
      <c r="H10" s="273"/>
      <c r="I10" s="273"/>
      <c r="J10" s="273"/>
      <c r="K10" s="273"/>
      <c r="L10" s="273"/>
    </row>
    <row r="11" spans="2:14" x14ac:dyDescent="0.25">
      <c r="D11" s="273"/>
      <c r="E11" s="273"/>
      <c r="F11" s="273"/>
      <c r="G11" s="273"/>
      <c r="H11" s="273"/>
      <c r="I11" s="273"/>
      <c r="J11" s="273"/>
      <c r="K11" s="273"/>
      <c r="L11" s="273"/>
    </row>
    <row r="12" spans="2:14" x14ac:dyDescent="0.25">
      <c r="D12" s="273"/>
      <c r="E12" s="273"/>
      <c r="F12" s="273"/>
      <c r="G12" s="273"/>
      <c r="H12" s="273"/>
      <c r="I12" s="273"/>
      <c r="J12" s="273"/>
      <c r="K12" s="273"/>
      <c r="L12" s="273"/>
    </row>
    <row r="13" spans="2:14" x14ac:dyDescent="0.25">
      <c r="D13" s="273"/>
      <c r="E13" s="273"/>
      <c r="F13" s="273"/>
      <c r="G13" s="273"/>
      <c r="H13" s="273"/>
      <c r="I13" s="273"/>
      <c r="J13" s="273"/>
      <c r="K13" s="273"/>
      <c r="L13" s="273"/>
    </row>
  </sheetData>
  <mergeCells count="8">
    <mergeCell ref="D10:L13"/>
    <mergeCell ref="B4:F4"/>
    <mergeCell ref="B5:F5"/>
    <mergeCell ref="B3:C3"/>
    <mergeCell ref="M6:N6"/>
    <mergeCell ref="J5:N5"/>
    <mergeCell ref="L3:N3"/>
    <mergeCell ref="J4:N4"/>
  </mergeCells>
  <phoneticPr fontId="19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меню</vt:lpstr>
      <vt:lpstr>Лист2</vt:lpstr>
      <vt:lpstr>титул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2021-04-12T06:13:50Z</dcterms:modified>
</cp:coreProperties>
</file>